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emf" ContentType="image/x-emf"/>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0" windowWidth="20490" windowHeight="7755" tabRatio="833"/>
  </bookViews>
  <sheets>
    <sheet name="Bocatoma La Berrionda" sheetId="1" r:id="rId1"/>
    <sheet name="Boc marinera" sheetId="9" state="hidden" r:id="rId2"/>
    <sheet name="Bocatoma La Berriondita" sheetId="13" r:id="rId3"/>
    <sheet name="Int. desarenador" sheetId="7" r:id="rId4"/>
    <sheet name="Des-Esc 3-2 (RAS-2000)" sheetId="12" r:id="rId5"/>
    <sheet name="Des-Esc 3-1 (RAS-2000)" sheetId="11" r:id="rId6"/>
    <sheet name="Relacion Diametro - Velocidad" sheetId="5" r:id="rId7"/>
    <sheet name="Viscosidad, Numero Hazen" sheetId="4" r:id="rId8"/>
  </sheets>
  <definedNames>
    <definedName name="_xlnm.Print_Area" localSheetId="1">'Boc marinera'!$A$1:$G$85</definedName>
    <definedName name="_xlnm.Print_Area" localSheetId="0">'Bocatoma La Berrionda'!$A$1:$G$127</definedName>
    <definedName name="_xlnm.Print_Area" localSheetId="2">'Bocatoma La Berriondita'!$A$1:$G$127</definedName>
    <definedName name="_xlnm.Print_Area" localSheetId="5">'Des-Esc 3-1 (RAS-2000)'!$A$1:$H$184</definedName>
    <definedName name="_xlnm.Print_Area" localSheetId="4">'Des-Esc 3-2 (RAS-2000)'!$A$1:$H$185</definedName>
    <definedName name="_xlnm.Print_Area" localSheetId="3">'Int. desarenador'!$A$1:$G$40</definedName>
    <definedName name="_xlnm.Print_Area" localSheetId="7">'Viscosidad, Numero Hazen'!$A$1:$E$42</definedName>
    <definedName name="_xlnm.Print_Area">#REF!</definedName>
    <definedName name="_xlnm.Print_Titles" localSheetId="1">'Boc marinera'!$1:$3</definedName>
    <definedName name="_xlnm.Print_Titles" localSheetId="0">'Bocatoma La Berrionda'!$9:$11</definedName>
    <definedName name="_xlnm.Print_Titles" localSheetId="2">'Bocatoma La Berriondita'!$2:$11</definedName>
    <definedName name="_xlnm.Print_Titles" localSheetId="5">'Des-Esc 3-1 (RAS-2000)'!$1:$12</definedName>
    <definedName name="_xlnm.Print_Titles" localSheetId="4">'Des-Esc 3-2 (RAS-2000)'!$1:$13</definedName>
    <definedName name="_xlnm.Print_Titles" localSheetId="3">'Int. desarenador'!$1:$12</definedName>
  </definedNames>
  <calcPr calcId="125725"/>
</workbook>
</file>

<file path=xl/calcChain.xml><?xml version="1.0" encoding="utf-8"?>
<calcChain xmlns="http://schemas.openxmlformats.org/spreadsheetml/2006/main">
  <c r="G32" i="1"/>
  <c r="E126" i="11" l="1"/>
  <c r="E127" i="12" l="1"/>
  <c r="D49" i="1" l="1"/>
  <c r="D167" i="11" l="1"/>
  <c r="D75" i="13" l="1"/>
  <c r="E29" l="1"/>
  <c r="D38" s="1"/>
  <c r="D49" s="1"/>
  <c r="D51" s="1"/>
  <c r="E112" l="1"/>
  <c r="E113" s="1"/>
  <c r="D117" s="1"/>
  <c r="A118" s="1"/>
  <c r="E95"/>
  <c r="E94"/>
  <c r="E93"/>
  <c r="E91"/>
  <c r="E90"/>
  <c r="E92" s="1"/>
  <c r="D76"/>
  <c r="D77" s="1"/>
  <c r="D61"/>
  <c r="D62" s="1"/>
  <c r="D63" s="1"/>
  <c r="A65" s="1"/>
  <c r="E33"/>
  <c r="D75" i="1"/>
  <c r="D61"/>
  <c r="D62" s="1"/>
  <c r="E29"/>
  <c r="E112"/>
  <c r="E113" s="1"/>
  <c r="E33"/>
  <c r="E96" i="13" l="1"/>
  <c r="D98" s="1"/>
  <c r="A100" s="1"/>
  <c r="D76" i="1"/>
  <c r="D77" s="1"/>
  <c r="A53" i="13"/>
  <c r="A40"/>
  <c r="D174" i="12"/>
  <c r="D170"/>
  <c r="D171" s="1"/>
  <c r="D173" s="1"/>
  <c r="D152"/>
  <c r="D153" s="1"/>
  <c r="D140"/>
  <c r="D114"/>
  <c r="D111" s="1"/>
  <c r="D112" s="1"/>
  <c r="D100"/>
  <c r="D99"/>
  <c r="H82"/>
  <c r="F82" s="1"/>
  <c r="D72"/>
  <c r="F89" s="1"/>
  <c r="D62"/>
  <c r="A116" l="1"/>
  <c r="D168"/>
  <c r="D177" s="1"/>
  <c r="H81" i="11"/>
  <c r="F81" s="1"/>
  <c r="D179" i="12" l="1"/>
  <c r="D178"/>
  <c r="A181" s="1"/>
  <c r="D173" i="11"/>
  <c r="D169"/>
  <c r="D170" s="1"/>
  <c r="D172" s="1"/>
  <c r="D151"/>
  <c r="D152" s="1"/>
  <c r="D139"/>
  <c r="D113"/>
  <c r="D110" s="1"/>
  <c r="D111" s="1"/>
  <c r="D99"/>
  <c r="D98"/>
  <c r="D61"/>
  <c r="F84" i="12" l="1"/>
  <c r="D71" i="11"/>
  <c r="D176"/>
  <c r="D178" s="1"/>
  <c r="A115"/>
  <c r="E95" i="1"/>
  <c r="E94"/>
  <c r="E93"/>
  <c r="E90"/>
  <c r="D38" l="1"/>
  <c r="A40" s="1"/>
  <c r="D177" i="11"/>
  <c r="A180" s="1"/>
  <c r="D138" i="12"/>
  <c r="D98"/>
  <c r="D97" s="1"/>
  <c r="A91"/>
  <c r="D155"/>
  <c r="D156" s="1"/>
  <c r="D157" s="1"/>
  <c r="A160" s="1"/>
  <c r="E96" i="1"/>
  <c r="E20" i="9"/>
  <c r="D29" s="1"/>
  <c r="D39" s="1"/>
  <c r="D41" s="1"/>
  <c r="A43" s="1"/>
  <c r="E24"/>
  <c r="D49"/>
  <c r="E68"/>
  <c r="E69" s="1"/>
  <c r="C73" s="1"/>
  <c r="D63" i="1"/>
  <c r="E91"/>
  <c r="D117"/>
  <c r="A118" s="1"/>
  <c r="B5" i="4"/>
  <c r="E5" s="1"/>
  <c r="D5"/>
  <c r="A6"/>
  <c r="A7" s="1"/>
  <c r="A8" s="1"/>
  <c r="A9" s="1"/>
  <c r="A10" s="1"/>
  <c r="A11" s="1"/>
  <c r="A12" s="1"/>
  <c r="A13" s="1"/>
  <c r="A14" s="1"/>
  <c r="A15" s="1"/>
  <c r="A16" s="1"/>
  <c r="A17" s="1"/>
  <c r="A18" s="1"/>
  <c r="A19" s="1"/>
  <c r="A20" s="1"/>
  <c r="B6"/>
  <c r="E6" s="1"/>
  <c r="D6"/>
  <c r="B7"/>
  <c r="E7" s="1"/>
  <c r="D7"/>
  <c r="B8"/>
  <c r="E8" s="1"/>
  <c r="D8"/>
  <c r="B9"/>
  <c r="E9" s="1"/>
  <c r="D9"/>
  <c r="B10"/>
  <c r="E10" s="1"/>
  <c r="D10"/>
  <c r="B11"/>
  <c r="E11" s="1"/>
  <c r="D11"/>
  <c r="B12"/>
  <c r="E12" s="1"/>
  <c r="D12"/>
  <c r="B13"/>
  <c r="E13" s="1"/>
  <c r="D13"/>
  <c r="B14"/>
  <c r="E14" s="1"/>
  <c r="D14"/>
  <c r="B15"/>
  <c r="E15" s="1"/>
  <c r="D15"/>
  <c r="B16"/>
  <c r="E16" s="1"/>
  <c r="D16"/>
  <c r="B17"/>
  <c r="E17" s="1"/>
  <c r="D17"/>
  <c r="B18"/>
  <c r="E18" s="1"/>
  <c r="D18"/>
  <c r="B19"/>
  <c r="E19" s="1"/>
  <c r="D19"/>
  <c r="B20"/>
  <c r="E20" s="1"/>
  <c r="D20"/>
  <c r="B21"/>
  <c r="E21" s="1"/>
  <c r="D21"/>
  <c r="B22"/>
  <c r="E22" s="1"/>
  <c r="D22"/>
  <c r="B23"/>
  <c r="D23"/>
  <c r="E23"/>
  <c r="B24"/>
  <c r="D24"/>
  <c r="E24"/>
  <c r="B25"/>
  <c r="E25" s="1"/>
  <c r="D25"/>
  <c r="B26"/>
  <c r="E26" s="1"/>
  <c r="D26"/>
  <c r="B27"/>
  <c r="E27" s="1"/>
  <c r="D27"/>
  <c r="B28"/>
  <c r="E28" s="1"/>
  <c r="D28"/>
  <c r="B29"/>
  <c r="E29" s="1"/>
  <c r="D29"/>
  <c r="B30"/>
  <c r="E30" s="1"/>
  <c r="D30"/>
  <c r="B31"/>
  <c r="E31" s="1"/>
  <c r="D31"/>
  <c r="B32"/>
  <c r="E32" s="1"/>
  <c r="D32"/>
  <c r="B33"/>
  <c r="E33" s="1"/>
  <c r="D33"/>
  <c r="B34"/>
  <c r="E34" s="1"/>
  <c r="D34"/>
  <c r="B35"/>
  <c r="E35" s="1"/>
  <c r="D35"/>
  <c r="A65" i="1" l="1"/>
  <c r="D51"/>
  <c r="A53" s="1"/>
  <c r="D139" i="12"/>
  <c r="D141" s="1"/>
  <c r="A143" s="1"/>
  <c r="F97"/>
  <c r="F112"/>
  <c r="E92" i="1"/>
  <c r="D98" s="1"/>
  <c r="A100" s="1"/>
  <c r="E65" i="9"/>
  <c r="A75"/>
  <c r="A21" i="4"/>
  <c r="A22" s="1"/>
  <c r="A23" s="1"/>
  <c r="A24" s="1"/>
  <c r="A25" s="1"/>
  <c r="A26" s="1"/>
  <c r="A27" s="1"/>
  <c r="A28" s="1"/>
  <c r="A29" s="1"/>
  <c r="A30" s="1"/>
  <c r="A31" s="1"/>
  <c r="A32" s="1"/>
  <c r="A33" s="1"/>
  <c r="A34" s="1"/>
  <c r="A35" s="1"/>
  <c r="D43" i="12" l="1"/>
  <c r="D42" i="11"/>
  <c r="D59" s="1"/>
  <c r="D63" s="1"/>
  <c r="D60" i="12" l="1"/>
  <c r="D64" s="1"/>
  <c r="D126" i="11"/>
  <c r="D73"/>
  <c r="D83" s="1"/>
  <c r="F88" s="1"/>
  <c r="D127" i="12" l="1"/>
  <c r="E102"/>
  <c r="A105" s="1"/>
  <c r="D74"/>
  <c r="A129"/>
  <c r="F83" i="11"/>
  <c r="A128"/>
  <c r="F102" i="12" l="1"/>
  <c r="D154" i="11"/>
  <c r="D155" s="1"/>
  <c r="D156" s="1"/>
  <c r="A159" s="1"/>
  <c r="D97"/>
  <c r="D96" s="1"/>
  <c r="A90"/>
  <c r="D137"/>
  <c r="D138" l="1"/>
  <c r="D140" s="1"/>
  <c r="A142" s="1"/>
  <c r="E101"/>
  <c r="F101" s="1"/>
  <c r="F111"/>
  <c r="F96"/>
  <c r="A104" l="1"/>
</calcChain>
</file>

<file path=xl/comments1.xml><?xml version="1.0" encoding="utf-8"?>
<comments xmlns="http://schemas.openxmlformats.org/spreadsheetml/2006/main">
  <authors>
    <author>SanearPC8</author>
  </authors>
  <commentList>
    <comment ref="A24" authorId="0">
      <text>
        <r>
          <rPr>
            <sz val="8"/>
            <color indexed="81"/>
            <rFont val="Tahoma"/>
            <family val="2"/>
          </rPr>
          <t xml:space="preserve">OBRAS HIDRAULICAS RURALES. Ing Hernan Materon Muñoz.
Universidad del Valle.
Cuarta edicion,1991 
 Pág 3.69 - 3.77) </t>
        </r>
      </text>
    </comment>
    <comment ref="F28" authorId="0">
      <text>
        <r>
          <rPr>
            <sz val="8"/>
            <color indexed="81"/>
            <rFont val="Tahoma"/>
            <family val="2"/>
          </rPr>
          <t>OBRAS HIDRAULICAS RURALES. Ing Hernan Materon Muñoz.
Universidad del Valle.
Cuarta edicion,1991 
Tabla 3.4,  Pág 3.77</t>
        </r>
      </text>
    </comment>
    <comment ref="F36" authorId="0">
      <text>
        <r>
          <rPr>
            <sz val="8"/>
            <color indexed="81"/>
            <rFont val="Tahoma"/>
            <family val="2"/>
          </rPr>
          <t>OBRAS HIDRAULICAS RURALES. 
Ing Hernan Materon Muñoz.
Universidad del Valle.
Cuarta edicion,1991 
Pág 3.73</t>
        </r>
      </text>
    </comment>
    <comment ref="A46" authorId="0">
      <text>
        <r>
          <rPr>
            <sz val="8"/>
            <color indexed="81"/>
            <rFont val="Tahoma"/>
            <family val="2"/>
          </rPr>
          <t>MANUAL DE HIDRAULICA.
J. M. Azevedo Netto, Guillermo Acosta Alvarez. Editorial Harla. Sexta edición, 1976. Pág 79</t>
        </r>
      </text>
    </comment>
    <comment ref="A57" authorId="0">
      <text>
        <r>
          <rPr>
            <sz val="8"/>
            <color indexed="81"/>
            <rFont val="Tahoma"/>
            <family val="2"/>
          </rPr>
          <t>MANUAL DE HIDRAULICA.
J. M. Azevedo Netto, Guillermo Acosta Alvarez. Editorial Harla. Sexta edición, 1976. 
Pág 79</t>
        </r>
      </text>
    </comment>
    <comment ref="A71" authorId="0">
      <text>
        <r>
          <rPr>
            <sz val="8"/>
            <color indexed="81"/>
            <rFont val="Tahoma"/>
            <family val="2"/>
          </rPr>
          <t>MANUAL DE HIDRAULICA.
J. M. Azevedo Netto, Guillermo Acosta Alvarez. Editorial Harla. Sexta edición, 1976. 
Pág 79</t>
        </r>
      </text>
    </comment>
    <comment ref="A106" authorId="0">
      <text>
        <r>
          <rPr>
            <sz val="8"/>
            <color indexed="81"/>
            <rFont val="Tahoma"/>
            <family val="2"/>
          </rPr>
          <t>MANUAL DE HIDRAULICA. 
J. M. Azevedo Netto, Guillermo Acosta Alvarez. Editorial Harla. Sexta edición, 1976. 
Pág 73</t>
        </r>
      </text>
    </comment>
    <comment ref="F110" authorId="0">
      <text>
        <r>
          <rPr>
            <sz val="8"/>
            <color indexed="81"/>
            <rFont val="Tahoma"/>
            <family val="2"/>
          </rPr>
          <t>MANUAL DE HIDRAULICA. 
J. M. Azevedo Netto, Guillermo Acosta Alvarez. Editorial Harla. Sexta edición, 1976. 
Pág 73</t>
        </r>
      </text>
    </comment>
  </commentList>
</comments>
</file>

<file path=xl/comments2.xml><?xml version="1.0" encoding="utf-8"?>
<comments xmlns="http://schemas.openxmlformats.org/spreadsheetml/2006/main">
  <authors>
    <author>SanearPC8</author>
  </authors>
  <commentList>
    <comment ref="A14" authorId="0">
      <text>
        <r>
          <rPr>
            <b/>
            <sz val="8"/>
            <color indexed="81"/>
            <rFont val="Tahoma"/>
            <family val="2"/>
          </rPr>
          <t>SanearPC8:</t>
        </r>
        <r>
          <rPr>
            <sz val="8"/>
            <color indexed="81"/>
            <rFont val="Tahoma"/>
            <family val="2"/>
          </rPr>
          <t xml:space="preserve">
OBRAS HIDRAULICAS RURALES. Ing Hernan Materon Muñoz.
Universidad del Valle.
Cuarta edicion,1991 
 Pág 3.69 - 3.77) </t>
        </r>
      </text>
    </comment>
    <comment ref="F19" authorId="0">
      <text>
        <r>
          <rPr>
            <b/>
            <sz val="8"/>
            <color indexed="81"/>
            <rFont val="Tahoma"/>
            <family val="2"/>
          </rPr>
          <t>SanearPC8:</t>
        </r>
        <r>
          <rPr>
            <sz val="8"/>
            <color indexed="81"/>
            <rFont val="Tahoma"/>
            <family val="2"/>
          </rPr>
          <t xml:space="preserve">
OBRAS HIDRAULICAS RURALES. Ing Hernan Materon Muñoz.
Universidad del Valle.
Cuarta edicion,1991 
Tabla 3.4,  Pág 3.77</t>
        </r>
      </text>
    </comment>
    <comment ref="F27" authorId="0">
      <text>
        <r>
          <rPr>
            <b/>
            <sz val="8"/>
            <color indexed="81"/>
            <rFont val="Tahoma"/>
            <family val="2"/>
          </rPr>
          <t>SanearPC8:</t>
        </r>
        <r>
          <rPr>
            <sz val="8"/>
            <color indexed="81"/>
            <rFont val="Tahoma"/>
            <family val="2"/>
          </rPr>
          <t xml:space="preserve">
OBRAS HIDRAULICAS RURALES. 
Ing Hernan Materon Muñoz.
Universidad del Valle.
Cuarta edicion,1991 
Pág 3.73</t>
        </r>
      </text>
    </comment>
    <comment ref="A36"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45"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62"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 ref="F66"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List>
</comments>
</file>

<file path=xl/comments3.xml><?xml version="1.0" encoding="utf-8"?>
<comments xmlns="http://schemas.openxmlformats.org/spreadsheetml/2006/main">
  <authors>
    <author>SanearPC8</author>
  </authors>
  <commentList>
    <comment ref="A24" authorId="0">
      <text>
        <r>
          <rPr>
            <sz val="8"/>
            <color indexed="81"/>
            <rFont val="Tahoma"/>
            <family val="2"/>
          </rPr>
          <t xml:space="preserve">OBRAS HIDRAULICAS RURALES. Ing Hernan Materon Muñoz.
Universidad del Valle.
Cuarta edicion,1991 
 Pág 3.69 - 3.77) </t>
        </r>
      </text>
    </comment>
    <comment ref="F28" authorId="0">
      <text>
        <r>
          <rPr>
            <sz val="8"/>
            <color indexed="81"/>
            <rFont val="Tahoma"/>
            <family val="2"/>
          </rPr>
          <t>OBRAS HIDRAULICAS RURALES. Ing Hernan Materon Muñoz.
Universidad del Valle.
Cuarta edicion,1991 
Tabla 3.4,  Pág 3.77</t>
        </r>
      </text>
    </comment>
    <comment ref="F36" authorId="0">
      <text>
        <r>
          <rPr>
            <sz val="8"/>
            <color indexed="81"/>
            <rFont val="Tahoma"/>
            <family val="2"/>
          </rPr>
          <t>OBRAS HIDRAULICAS RURALES. 
Ing Hernan Materon Muñoz.
Universidad del Valle.
Cuarta edicion,1991 
Pág 3.73</t>
        </r>
      </text>
    </comment>
    <comment ref="A46" authorId="0">
      <text>
        <r>
          <rPr>
            <sz val="8"/>
            <color indexed="81"/>
            <rFont val="Tahoma"/>
            <family val="2"/>
          </rPr>
          <t>MANUAL DE HIDRAULICA.
J. M. Azevedo Netto, Guillermo Acosta Alvarez. Editorial Harla. Sexta edición, 1976. Pág 79</t>
        </r>
      </text>
    </comment>
    <comment ref="A57" authorId="0">
      <text>
        <r>
          <rPr>
            <sz val="8"/>
            <color indexed="81"/>
            <rFont val="Tahoma"/>
            <family val="2"/>
          </rPr>
          <t>MANUAL DE HIDRAULICA.
J. M. Azevedo Netto, Guillermo Acosta Alvarez. Editorial Harla. Sexta edición, 1976. 
Pág 79</t>
        </r>
      </text>
    </comment>
    <comment ref="A71" authorId="0">
      <text>
        <r>
          <rPr>
            <sz val="8"/>
            <color indexed="81"/>
            <rFont val="Tahoma"/>
            <family val="2"/>
          </rPr>
          <t>MANUAL DE HIDRAULICA.
J. M. Azevedo Netto, Guillermo Acosta Alvarez. Editorial Harla. Sexta edición, 1976. 
Pág 79</t>
        </r>
      </text>
    </comment>
    <comment ref="A106" authorId="0">
      <text>
        <r>
          <rPr>
            <sz val="8"/>
            <color indexed="81"/>
            <rFont val="Tahoma"/>
            <family val="2"/>
          </rPr>
          <t>MANUAL DE HIDRAULICA. 
J. M. Azevedo Netto, Guillermo Acosta Alvarez. Editorial Harla. Sexta edición, 1976. 
Pág 73</t>
        </r>
      </text>
    </comment>
    <comment ref="F110" authorId="0">
      <text>
        <r>
          <rPr>
            <sz val="8"/>
            <color indexed="81"/>
            <rFont val="Tahoma"/>
            <family val="2"/>
          </rPr>
          <t>MANUAL DE HIDRAULICA. 
J. M. Azevedo Netto, Guillermo Acosta Alvarez. Editorial Harla. Sexta edición, 1976. 
Pág 73</t>
        </r>
      </text>
    </comment>
  </commentList>
</comments>
</file>

<file path=xl/comments4.xml><?xml version="1.0" encoding="utf-8"?>
<comments xmlns="http://schemas.openxmlformats.org/spreadsheetml/2006/main">
  <authors>
    <author>PC7</author>
    <author>SanearPC8</author>
    <author>SANEAR</author>
  </authors>
  <commentList>
    <comment ref="G41" authorId="0">
      <text>
        <r>
          <rPr>
            <b/>
            <sz val="8"/>
            <color indexed="81"/>
            <rFont val="Tahoma"/>
            <family val="2"/>
          </rPr>
          <t xml:space="preserve">PC7:
PARÁMETROS DEL RAS/2000
* </t>
        </r>
        <r>
          <rPr>
            <sz val="8"/>
            <color indexed="81"/>
            <rFont val="Tahoma"/>
            <family val="2"/>
          </rPr>
          <t>Los desarenadores deben tener una  capacidad mínima igual al QMD más las pérdidas en el sistema y en la PTAP.</t>
        </r>
        <r>
          <rPr>
            <b/>
            <sz val="8"/>
            <color indexed="81"/>
            <rFont val="Tahoma"/>
            <family val="2"/>
          </rPr>
          <t xml:space="preserve">
</t>
        </r>
        <r>
          <rPr>
            <sz val="8"/>
            <color indexed="81"/>
            <rFont val="Tahoma"/>
            <family val="2"/>
          </rPr>
          <t xml:space="preserve">* Vel hor / vel sed &lt; 20
* Long útil / Alt tolva = 1 - 10
* Alt tolva = 0,75m - 1,50m
* Tambien puede ser: Alt tolva = Alt útil
* Canal para evacuación de arenas, debe tener una pendiente mínima del 5%.
* Pendiente de las tolvas 5% - 8%.
* Tuberias y/o canales de descarga deben tener un Ø ó ancho mínimo de 25cm, ó una pendiente mínima de 2%.
</t>
        </r>
        <r>
          <rPr>
            <b/>
            <sz val="8"/>
            <color indexed="81"/>
            <rFont val="Tahoma"/>
            <family val="2"/>
          </rPr>
          <t>Con tratamiento posterior</t>
        </r>
        <r>
          <rPr>
            <sz val="8"/>
            <color indexed="81"/>
            <rFont val="Tahoma"/>
            <family val="2"/>
          </rPr>
          <t xml:space="preserve">
* Vel hor máx = 0,25m/s
* Øparticula = 0,2mm
* Eficiencia mínima = 75%
</t>
        </r>
        <r>
          <rPr>
            <b/>
            <sz val="8"/>
            <color indexed="81"/>
            <rFont val="Tahoma"/>
            <family val="2"/>
          </rPr>
          <t>Sin tratamiento posterior</t>
        </r>
        <r>
          <rPr>
            <sz val="8"/>
            <color indexed="81"/>
            <rFont val="Tahoma"/>
            <family val="2"/>
          </rPr>
          <t xml:space="preserve">
* Vel hor máx = 0,17m/s
* Øparticula = 0,1mm
* Eficiencia mínima = 75%</t>
        </r>
      </text>
    </comment>
    <comment ref="C58" authorId="1">
      <text>
        <r>
          <rPr>
            <sz val="8"/>
            <color indexed="81"/>
            <rFont val="Tahoma"/>
            <family val="2"/>
          </rPr>
          <t>ACUEDUCTO. Teoria y Diseño.  Freddy Corcho Romero, Jose I. Duque Serna. 
Universidad de Medellin. 1993
Pág 179</t>
        </r>
      </text>
    </comment>
    <comment ref="E61" authorId="1">
      <text>
        <r>
          <rPr>
            <sz val="8"/>
            <color indexed="81"/>
            <rFont val="Tahoma"/>
            <family val="2"/>
          </rPr>
          <t>VELOCIDAD TOMADA DEL GRAFICO (FIGURA 4.4), EN LIBRO DE FREDY CORCHO, EN PAGINA 182.
O TAMBIEN DE TABLA 4.2, PAG 179.
CUANDO NO APAREZCA EN LA TABLA, SE DEBE INTERPOLAR.</t>
        </r>
      </text>
    </comment>
    <comment ref="E102" authorId="1">
      <text>
        <r>
          <rPr>
            <sz val="8"/>
            <color indexed="81"/>
            <rFont val="Tahoma"/>
            <family val="2"/>
          </rPr>
          <t xml:space="preserve">La relación entre la velocidad horizontal y la velocidad de asentamiento vertical debe ser inferior a 20.
</t>
        </r>
      </text>
    </comment>
    <comment ref="F109" authorId="2">
      <text>
        <r>
          <rPr>
            <sz val="8"/>
            <color indexed="81"/>
            <rFont val="Tahoma"/>
            <family val="2"/>
          </rPr>
          <t>ACUEDUCTO Y ALCANTARILLADO Jorge Arturo Perez Parra. Facultad de Minas, Universidad Nacional. Primera edición, 2002
Pág 150</t>
        </r>
      </text>
    </comment>
    <comment ref="F120" authorId="1">
      <text>
        <r>
          <rPr>
            <sz val="8"/>
            <color indexed="81"/>
            <rFont val="Tahoma"/>
            <family val="2"/>
          </rPr>
          <t>ACUEDUCTO Y ALCANTARILLADO Jorge Arturo Perez Parra. Facultad de Minas, Universidad Nacional. Primera edición, 2002
Pág 177</t>
        </r>
      </text>
    </comment>
    <comment ref="C135" authorId="1">
      <text>
        <r>
          <rPr>
            <sz val="8"/>
            <color indexed="81"/>
            <rFont val="Tahoma"/>
            <family val="2"/>
          </rPr>
          <t>MANUAL DE HIDRAULICA.
J. M. Azevedo Netto, Guillermo Acosta Alvarez. Editorial Harla. Sexta edición, 1976. Pág 79</t>
        </r>
      </text>
    </comment>
  </commentList>
</comments>
</file>

<file path=xl/comments5.xml><?xml version="1.0" encoding="utf-8"?>
<comments xmlns="http://schemas.openxmlformats.org/spreadsheetml/2006/main">
  <authors>
    <author>PC7</author>
    <author>SanearPC8</author>
    <author>SANEAR</author>
  </authors>
  <commentList>
    <comment ref="G18" authorId="0">
      <text>
        <r>
          <rPr>
            <b/>
            <sz val="8"/>
            <color indexed="81"/>
            <rFont val="Tahoma"/>
            <family val="2"/>
          </rPr>
          <t xml:space="preserve">PC7:
PARÁMETROS DEL RAS/2000
* </t>
        </r>
        <r>
          <rPr>
            <sz val="8"/>
            <color indexed="81"/>
            <rFont val="Tahoma"/>
            <family val="2"/>
          </rPr>
          <t>Los desarenadores deben tener una  capacidad mínima igual al QMD más las pérdidas en el sistema y en la PTAP.</t>
        </r>
        <r>
          <rPr>
            <b/>
            <sz val="8"/>
            <color indexed="81"/>
            <rFont val="Tahoma"/>
            <family val="2"/>
          </rPr>
          <t xml:space="preserve">
</t>
        </r>
        <r>
          <rPr>
            <sz val="8"/>
            <color indexed="81"/>
            <rFont val="Tahoma"/>
            <family val="2"/>
          </rPr>
          <t xml:space="preserve">* Vel hor / vel sed &lt; 20
* Long útil / Alt tolva = 1 - 10
* Alt tolva = 0,75m - 1,50m
* Tambien puede ser: Alt tolva = Alt útil
* Canal para evacuación de arenas, debe tener una pendiente mínima del 5%.
* Pendiente de las tolvas 5% - 8%.
* Tuberias y/o canales de descarga deben tener un Ø ó ancho mínimo de 25cm, ó una pendiente mínima de 2%.
</t>
        </r>
        <r>
          <rPr>
            <b/>
            <sz val="8"/>
            <color indexed="81"/>
            <rFont val="Tahoma"/>
            <family val="2"/>
          </rPr>
          <t>Con tratamiento posterior</t>
        </r>
        <r>
          <rPr>
            <sz val="8"/>
            <color indexed="81"/>
            <rFont val="Tahoma"/>
            <family val="2"/>
          </rPr>
          <t xml:space="preserve">
* Vel hor máx = 0,25m/s
* Øparticula = 0,2mm
* Eficiencia mínima = 75%
</t>
        </r>
        <r>
          <rPr>
            <b/>
            <sz val="8"/>
            <color indexed="81"/>
            <rFont val="Tahoma"/>
            <family val="2"/>
          </rPr>
          <t>Sin tratamiento posterior</t>
        </r>
        <r>
          <rPr>
            <sz val="8"/>
            <color indexed="81"/>
            <rFont val="Tahoma"/>
            <family val="2"/>
          </rPr>
          <t xml:space="preserve">
* Vel hor máx = 0,17m/s
* Øparticula = 0,1mm
* Eficiencia mínima = 75%</t>
        </r>
      </text>
    </comment>
    <comment ref="C57" authorId="1">
      <text>
        <r>
          <rPr>
            <sz val="8"/>
            <color indexed="81"/>
            <rFont val="Tahoma"/>
            <family val="2"/>
          </rPr>
          <t>ACUEDUCTO. Teoria y Diseño.  Freddy Corcho Romero, Jose I. Duque Serna. 
Universidad de Medellin. 1993
Pág 179</t>
        </r>
      </text>
    </comment>
    <comment ref="E60" authorId="1">
      <text>
        <r>
          <rPr>
            <sz val="8"/>
            <color indexed="81"/>
            <rFont val="Tahoma"/>
            <family val="2"/>
          </rPr>
          <t>VELOCIDAD TOMADA DEL GRAFICO (FIGURA 4.4), EN LIBRO DE FREDY CORCHO, EN PAGINA 182.
O TAMBIEN DE TABLA 4.2, PAG 179.
CUANDO NO APAREZCA EN LA TABLA, SE DEBE INTERPOLAR.</t>
        </r>
      </text>
    </comment>
    <comment ref="E101" authorId="1">
      <text>
        <r>
          <rPr>
            <sz val="8"/>
            <color indexed="81"/>
            <rFont val="Tahoma"/>
            <family val="2"/>
          </rPr>
          <t xml:space="preserve">La relación entre la velocidad horizontal y la velocidad de asentamiento vertical debe ser inferior a 20.
</t>
        </r>
      </text>
    </comment>
    <comment ref="F108" authorId="2">
      <text>
        <r>
          <rPr>
            <sz val="8"/>
            <color indexed="81"/>
            <rFont val="Tahoma"/>
            <family val="2"/>
          </rPr>
          <t>ACUEDUCTO Y ALCANTARILLADO Jorge Arturo Perez Parra. Facultad de Minas, Universidad Nacional. Primera edición, 2002
Pág 150</t>
        </r>
      </text>
    </comment>
    <comment ref="F119" authorId="1">
      <text>
        <r>
          <rPr>
            <sz val="8"/>
            <color indexed="81"/>
            <rFont val="Tahoma"/>
            <family val="2"/>
          </rPr>
          <t>ACUEDUCTO Y ALCANTARILLADO Jorge Arturo Perez Parra. Facultad de Minas, Universidad Nacional. Primera edición, 2002
Pág 177</t>
        </r>
      </text>
    </comment>
    <comment ref="C134" authorId="1">
      <text>
        <r>
          <rPr>
            <sz val="8"/>
            <color indexed="81"/>
            <rFont val="Tahoma"/>
            <family val="2"/>
          </rPr>
          <t>MANUAL DE HIDRAULICA.
J. M. Azevedo Netto, Guillermo Acosta Alvarez. Editorial Harla. Sexta edición, 1976. Pág 79</t>
        </r>
      </text>
    </comment>
  </commentList>
</comments>
</file>

<file path=xl/sharedStrings.xml><?xml version="1.0" encoding="utf-8"?>
<sst xmlns="http://schemas.openxmlformats.org/spreadsheetml/2006/main" count="813" uniqueCount="339">
  <si>
    <t>Según el RAS/2.000, se deben considerar las siguientes recomendaciones para el diseño:</t>
  </si>
  <si>
    <t>1. PARAMETROS DE DISEÑO</t>
  </si>
  <si>
    <t>TABLA 4.2  RELACION ENTRE DIAMETRO DE PARTICULAS Y VELOCIDAD DE SEDIMENTACION</t>
  </si>
  <si>
    <r>
      <t>Acueductos. Teoria y diseño</t>
    </r>
    <r>
      <rPr>
        <sz val="10"/>
        <rFont val="Arial"/>
        <family val="2"/>
      </rPr>
      <t xml:space="preserve">   Freddy Hernan Corcho </t>
    </r>
  </si>
  <si>
    <t xml:space="preserve">Material </t>
  </si>
  <si>
    <t>Numero Reynolds</t>
  </si>
  <si>
    <t>Velocidad Sedimentacion</t>
  </si>
  <si>
    <t>Regimen</t>
  </si>
  <si>
    <t>Ley Aplicada</t>
  </si>
  <si>
    <r>
      <t xml:space="preserve">f  </t>
    </r>
    <r>
      <rPr>
        <b/>
        <sz val="10"/>
        <rFont val="Arial"/>
        <family val="2"/>
      </rPr>
      <t>Particulas limites</t>
    </r>
  </si>
  <si>
    <t xml:space="preserve">Grava </t>
  </si>
  <si>
    <t>1 cm</t>
  </si>
  <si>
    <t>&gt; 10.000</t>
  </si>
  <si>
    <t>100 cm/s</t>
  </si>
  <si>
    <t>Turbulento</t>
  </si>
  <si>
    <t>Newton</t>
  </si>
  <si>
    <t>Arena gruesa y media</t>
  </si>
  <si>
    <t>0,10 cm</t>
  </si>
  <si>
    <t>0,08 cm</t>
  </si>
  <si>
    <t>0,05 cm</t>
  </si>
  <si>
    <t>0,04 cm</t>
  </si>
  <si>
    <t>0,03 cm</t>
  </si>
  <si>
    <t>0,02 cm</t>
  </si>
  <si>
    <t>10,0 cm/s</t>
  </si>
  <si>
    <t>8,3 cm/s</t>
  </si>
  <si>
    <t>6,3 cm/s</t>
  </si>
  <si>
    <t>5,3 cm/s</t>
  </si>
  <si>
    <t>4,2 cm/s</t>
  </si>
  <si>
    <t>3,2 cm/s</t>
  </si>
  <si>
    <t>2,1 cm/s</t>
  </si>
  <si>
    <t>1,5 cm/s</t>
  </si>
  <si>
    <t>Transicion</t>
  </si>
  <si>
    <t>Allen</t>
  </si>
  <si>
    <t>0,015 cm</t>
  </si>
  <si>
    <t>Arena fina</t>
  </si>
  <si>
    <t>0,010 cm</t>
  </si>
  <si>
    <t>0,008 cm</t>
  </si>
  <si>
    <t>0,006 cm</t>
  </si>
  <si>
    <t>0,005 cm</t>
  </si>
  <si>
    <t>0,004 cm</t>
  </si>
  <si>
    <t>0,003 cm</t>
  </si>
  <si>
    <t>0,002 cm</t>
  </si>
  <si>
    <t>0,001 cm</t>
  </si>
  <si>
    <t>&lt; 1,0</t>
  </si>
  <si>
    <t>0,8 cm/s</t>
  </si>
  <si>
    <t>0,6 cm/s</t>
  </si>
  <si>
    <t>0,4 cm/s</t>
  </si>
  <si>
    <t>0,3 cm/s</t>
  </si>
  <si>
    <t>0,2 cm/s</t>
  </si>
  <si>
    <t>0,13 cm/s</t>
  </si>
  <si>
    <t>0,06 cm/s</t>
  </si>
  <si>
    <t>0,015 cm/s</t>
  </si>
  <si>
    <t>Laminar</t>
  </si>
  <si>
    <t>Stokes</t>
  </si>
  <si>
    <t>m</t>
  </si>
  <si>
    <r>
      <t>m/s</t>
    </r>
    <r>
      <rPr>
        <vertAlign val="superscript"/>
        <sz val="10"/>
        <rFont val="Arial"/>
        <family val="2"/>
      </rPr>
      <t>2</t>
    </r>
  </si>
  <si>
    <r>
      <t>Q</t>
    </r>
    <r>
      <rPr>
        <b/>
        <vertAlign val="subscript"/>
        <sz val="10"/>
        <rFont val="Arial"/>
        <family val="2"/>
      </rPr>
      <t>C</t>
    </r>
    <r>
      <rPr>
        <b/>
        <sz val="10"/>
        <rFont val="Arial"/>
        <family val="2"/>
      </rPr>
      <t>= [ ( C * e * b</t>
    </r>
    <r>
      <rPr>
        <b/>
        <vertAlign val="superscript"/>
        <sz val="10"/>
        <rFont val="Arial"/>
        <family val="2"/>
      </rPr>
      <t>2/3</t>
    </r>
    <r>
      <rPr>
        <b/>
        <sz val="10"/>
        <rFont val="Arial"/>
        <family val="2"/>
      </rPr>
      <t xml:space="preserve"> * (2g)</t>
    </r>
    <r>
      <rPr>
        <b/>
        <vertAlign val="superscript"/>
        <sz val="10"/>
        <rFont val="Arial"/>
        <family val="2"/>
      </rPr>
      <t>1/2</t>
    </r>
    <r>
      <rPr>
        <b/>
        <sz val="10"/>
        <rFont val="Arial"/>
        <family val="2"/>
      </rPr>
      <t xml:space="preserve"> * L ) / ( C`</t>
    </r>
    <r>
      <rPr>
        <b/>
        <vertAlign val="superscript"/>
        <sz val="10"/>
        <rFont val="Arial"/>
        <family val="2"/>
      </rPr>
      <t xml:space="preserve">1/3 </t>
    </r>
    <r>
      <rPr>
        <b/>
        <sz val="10"/>
        <rFont val="Arial"/>
        <family val="2"/>
      </rPr>
      <t>) ]</t>
    </r>
    <r>
      <rPr>
        <b/>
        <vertAlign val="superscript"/>
        <sz val="10"/>
        <rFont val="Arial"/>
        <family val="2"/>
      </rPr>
      <t>3/2</t>
    </r>
  </si>
  <si>
    <t xml:space="preserve">b = Ancho de la Cresta del Vertedero, b = </t>
  </si>
  <si>
    <r>
      <t>Q</t>
    </r>
    <r>
      <rPr>
        <b/>
        <vertAlign val="subscript"/>
        <sz val="10"/>
        <rFont val="Arial"/>
        <family val="2"/>
      </rPr>
      <t>C</t>
    </r>
    <r>
      <rPr>
        <b/>
        <sz val="10"/>
        <rFont val="Arial"/>
        <family val="2"/>
      </rPr>
      <t xml:space="preserve"> =</t>
    </r>
  </si>
  <si>
    <r>
      <t>Q</t>
    </r>
    <r>
      <rPr>
        <vertAlign val="subscript"/>
        <sz val="10"/>
        <rFont val="Arial"/>
        <family val="2"/>
      </rPr>
      <t xml:space="preserve"> </t>
    </r>
    <r>
      <rPr>
        <sz val="10"/>
        <rFont val="Arial"/>
        <family val="2"/>
      </rPr>
      <t>= Caudal Máximo de Captación,   Q</t>
    </r>
    <r>
      <rPr>
        <vertAlign val="subscript"/>
        <sz val="10"/>
        <rFont val="Arial"/>
        <family val="2"/>
      </rPr>
      <t xml:space="preserve">C </t>
    </r>
    <r>
      <rPr>
        <sz val="10"/>
        <rFont val="Arial"/>
        <family val="2"/>
      </rPr>
      <t>=</t>
    </r>
  </si>
  <si>
    <r>
      <t>m</t>
    </r>
    <r>
      <rPr>
        <vertAlign val="superscript"/>
        <sz val="10"/>
        <rFont val="Arial"/>
        <family val="2"/>
      </rPr>
      <t>3</t>
    </r>
    <r>
      <rPr>
        <sz val="10"/>
        <rFont val="Arial"/>
        <family val="2"/>
      </rPr>
      <t>/s</t>
    </r>
  </si>
  <si>
    <r>
      <t>m</t>
    </r>
    <r>
      <rPr>
        <vertAlign val="superscript"/>
        <sz val="10"/>
        <rFont val="Arial"/>
        <family val="2"/>
      </rPr>
      <t>2</t>
    </r>
  </si>
  <si>
    <r>
      <t xml:space="preserve">H = Altura del Vertedero,                   </t>
    </r>
    <r>
      <rPr>
        <b/>
        <sz val="10"/>
        <rFont val="Arial"/>
        <family val="2"/>
      </rPr>
      <t xml:space="preserve">H = </t>
    </r>
  </si>
  <si>
    <t>A =</t>
  </si>
  <si>
    <t>cm</t>
  </si>
  <si>
    <t>%</t>
  </si>
  <si>
    <t>cm/s</t>
  </si>
  <si>
    <t>s</t>
  </si>
  <si>
    <t>TABLA DE PESO ESPECIFICO  Y VISCOSIDADES DEL AGUA</t>
  </si>
  <si>
    <t>PARA DIFERENTES TEMPERATURAS</t>
  </si>
  <si>
    <t>Temperatura
(º C)</t>
  </si>
  <si>
    <t>Viscosidad 
Absoluta
(g/cm-s)</t>
  </si>
  <si>
    <r>
      <t>Peso Específico
(Kgf/m</t>
    </r>
    <r>
      <rPr>
        <vertAlign val="superscript"/>
        <sz val="10"/>
        <rFont val="Arial"/>
        <family val="2"/>
      </rPr>
      <t>3</t>
    </r>
    <r>
      <rPr>
        <sz val="10"/>
        <rFont val="Arial"/>
        <family val="2"/>
      </rPr>
      <t>)</t>
    </r>
  </si>
  <si>
    <r>
      <t>Viscosidad
Absoluta
(Kgf-s/m</t>
    </r>
    <r>
      <rPr>
        <vertAlign val="superscript"/>
        <sz val="10"/>
        <rFont val="Arial"/>
        <family val="2"/>
      </rPr>
      <t>3</t>
    </r>
    <r>
      <rPr>
        <sz val="10"/>
        <rFont val="Arial"/>
        <family val="2"/>
      </rPr>
      <t>)</t>
    </r>
  </si>
  <si>
    <r>
      <t>Viscosidad
Cinematica
(cm</t>
    </r>
    <r>
      <rPr>
        <vertAlign val="superscript"/>
        <sz val="10"/>
        <rFont val="Arial"/>
        <family val="2"/>
      </rPr>
      <t>2</t>
    </r>
    <r>
      <rPr>
        <sz val="10"/>
        <rFont val="Arial"/>
        <family val="2"/>
      </rPr>
      <t>/s)</t>
    </r>
  </si>
  <si>
    <t>* Viscosidad Cinemática del Agua                 µ =</t>
  </si>
  <si>
    <t>* Tamaño de Partícula                                  d =</t>
  </si>
  <si>
    <t>* Porcentaje de Remoción                         %R =</t>
  </si>
  <si>
    <t>* Aceleración de la Gravedad                       g  =</t>
  </si>
  <si>
    <t xml:space="preserve">Tiempo de Retención Hidráulica,                a =  </t>
  </si>
  <si>
    <t xml:space="preserve">Eficiencia = </t>
  </si>
  <si>
    <t xml:space="preserve">Malos deflectores o sin ellos  </t>
  </si>
  <si>
    <t xml:space="preserve">NUMERO DE HAZEN </t>
  </si>
  <si>
    <t>Deflectores Buenos</t>
  </si>
  <si>
    <t>Muy Buenos Deflectores</t>
  </si>
  <si>
    <t>Defina el grado del desarenador =</t>
  </si>
  <si>
    <t>Dimensiones del Desarenador</t>
  </si>
  <si>
    <t>un</t>
  </si>
  <si>
    <t>Donde:</t>
  </si>
  <si>
    <t xml:space="preserve">* Profundidad Util                                   </t>
  </si>
  <si>
    <t xml:space="preserve"> (Hu) =</t>
  </si>
  <si>
    <t xml:space="preserve">* Largo Util                                              </t>
  </si>
  <si>
    <t>(Lu) =</t>
  </si>
  <si>
    <t xml:space="preserve">* Ancho Util                                             </t>
  </si>
  <si>
    <t>(Au) =</t>
  </si>
  <si>
    <t xml:space="preserve"> Vt =</t>
  </si>
  <si>
    <t xml:space="preserve">Volumen del Desarenador                    </t>
  </si>
  <si>
    <t>Tiempo de Sedimentación,           t = Hu/Vsp  =</t>
  </si>
  <si>
    <t>D = Diámetro del Orificio</t>
  </si>
  <si>
    <t>D =</t>
  </si>
  <si>
    <t>C = Coeficiente de Descarga</t>
  </si>
  <si>
    <t>C =</t>
  </si>
  <si>
    <t>H = Carga hidráulica sobre el orificio</t>
  </si>
  <si>
    <t>H =</t>
  </si>
  <si>
    <t xml:space="preserve">g = Aceleración de la gravedad </t>
  </si>
  <si>
    <t>g =</t>
  </si>
  <si>
    <t>Re =</t>
  </si>
  <si>
    <t>Donde :</t>
  </si>
  <si>
    <t>d =</t>
  </si>
  <si>
    <t>Vs =</t>
  </si>
  <si>
    <t>µ =</t>
  </si>
  <si>
    <t>Número de Reynolds</t>
  </si>
  <si>
    <t>Velocidad de sedimentación; (cm/s)</t>
  </si>
  <si>
    <t>Diámetro partícula; (cm)</t>
  </si>
  <si>
    <t xml:space="preserve">Eficiencia Condiciones </t>
  </si>
  <si>
    <t>pulg</t>
  </si>
  <si>
    <t>Se revisará la altura de la lámina de agua que debe estar sobre el vertedero central de la bocatoma; para tener la capacidad de captar todo el caudal estimado que puede pasar por la reja; para lo anterior, se usará la fórmula de Francis.</t>
  </si>
  <si>
    <t>Qc =</t>
  </si>
  <si>
    <t>min</t>
  </si>
  <si>
    <t>*  Caudal en el desarenador ; Q =</t>
  </si>
  <si>
    <t>*  Ancho útil del desarenador; Au =</t>
  </si>
  <si>
    <t>*  Profundidad útil del desarenador; Hu =</t>
  </si>
  <si>
    <t>m/s</t>
  </si>
  <si>
    <t>Q = Vt / a</t>
  </si>
  <si>
    <t>Qc = Caudal Máximo de Captación</t>
  </si>
  <si>
    <r>
      <t>Q = C x A x ( 2 x g x H^</t>
    </r>
    <r>
      <rPr>
        <b/>
        <vertAlign val="superscript"/>
        <sz val="10"/>
        <rFont val="Arial"/>
        <family val="2"/>
      </rPr>
      <t>3/2</t>
    </r>
    <r>
      <rPr>
        <b/>
        <sz val="10"/>
        <rFont val="Arial"/>
        <family val="2"/>
      </rPr>
      <t xml:space="preserve"> )^</t>
    </r>
    <r>
      <rPr>
        <b/>
        <vertAlign val="superscript"/>
        <sz val="10"/>
        <rFont val="Arial"/>
        <family val="2"/>
      </rPr>
      <t>1/2</t>
    </r>
  </si>
  <si>
    <t>Para realizar el chequeo del caudal máximo de captación en la rejilla, se utilizará la siguiente expresión teórica:</t>
  </si>
  <si>
    <t>A = Área Seccional</t>
  </si>
  <si>
    <t>ºC</t>
  </si>
  <si>
    <t>L/s</t>
  </si>
  <si>
    <t>* Temperatura del Agua,                               T  =</t>
  </si>
  <si>
    <t>Se utillizará la ecuación de STOKES para hallar la velocidad de sedimentación:</t>
  </si>
  <si>
    <t xml:space="preserve">   (B.4.4.6.3  RAS/2000)</t>
  </si>
  <si>
    <t>* Desarenadores con buenos deflectores (Flinn, Weston, Bogart) a / t =</t>
  </si>
  <si>
    <t>cm/s =</t>
  </si>
  <si>
    <t>Densidad de los granos sumergidos, Arena; Ss=</t>
  </si>
  <si>
    <t>diámetro, Ø=</t>
  </si>
  <si>
    <r>
      <t>Q</t>
    </r>
    <r>
      <rPr>
        <vertAlign val="subscript"/>
        <sz val="10"/>
        <rFont val="Arial"/>
        <family val="2"/>
      </rPr>
      <t>C:</t>
    </r>
    <r>
      <rPr>
        <sz val="10"/>
        <rFont val="Arial"/>
        <family val="2"/>
      </rPr>
      <t xml:space="preserve"> Caudal Máximo de Captación </t>
    </r>
  </si>
  <si>
    <t xml:space="preserve">C: Coeficiente de Descarga para Rejas Inclinadas,  C = </t>
  </si>
  <si>
    <r>
      <t>e: Relación de Vacíos en la Reja,  e = ((N</t>
    </r>
    <r>
      <rPr>
        <vertAlign val="subscript"/>
        <sz val="10"/>
        <rFont val="Arial"/>
        <family val="2"/>
      </rPr>
      <t>b</t>
    </r>
    <r>
      <rPr>
        <sz val="10"/>
        <rFont val="Arial"/>
        <family val="2"/>
      </rPr>
      <t>+1) x e</t>
    </r>
    <r>
      <rPr>
        <vertAlign val="subscript"/>
        <sz val="10"/>
        <rFont val="Arial"/>
        <family val="2"/>
      </rPr>
      <t>b</t>
    </r>
    <r>
      <rPr>
        <sz val="10"/>
        <rFont val="Arial"/>
        <family val="2"/>
      </rPr>
      <t>)/L =</t>
    </r>
  </si>
  <si>
    <r>
      <t>e</t>
    </r>
    <r>
      <rPr>
        <vertAlign val="subscript"/>
        <sz val="10"/>
        <rFont val="Arial"/>
        <family val="2"/>
      </rPr>
      <t>b:</t>
    </r>
    <r>
      <rPr>
        <sz val="10"/>
        <rFont val="Arial"/>
        <family val="2"/>
      </rPr>
      <t xml:space="preserve"> Espacio entre barras,                                     e</t>
    </r>
    <r>
      <rPr>
        <vertAlign val="subscript"/>
        <sz val="10"/>
        <rFont val="Arial"/>
        <family val="2"/>
      </rPr>
      <t>b</t>
    </r>
    <r>
      <rPr>
        <sz val="10"/>
        <rFont val="Arial"/>
        <family val="2"/>
      </rPr>
      <t xml:space="preserve"> = </t>
    </r>
  </si>
  <si>
    <t xml:space="preserve">L: Longitud de la Reja,                                          L = </t>
  </si>
  <si>
    <r>
      <t>N</t>
    </r>
    <r>
      <rPr>
        <vertAlign val="subscript"/>
        <sz val="10"/>
        <rFont val="Arial"/>
        <family val="2"/>
      </rPr>
      <t>b:</t>
    </r>
    <r>
      <rPr>
        <sz val="10"/>
        <rFont val="Arial"/>
        <family val="2"/>
      </rPr>
      <t xml:space="preserve"> Número de Barras,                                         N</t>
    </r>
    <r>
      <rPr>
        <vertAlign val="subscript"/>
        <sz val="10"/>
        <rFont val="Arial"/>
        <family val="2"/>
      </rPr>
      <t xml:space="preserve">b </t>
    </r>
    <r>
      <rPr>
        <sz val="10"/>
        <rFont val="Arial"/>
        <family val="2"/>
      </rPr>
      <t>=</t>
    </r>
  </si>
  <si>
    <t>g: Aceleración de la Gravedad,                               g =</t>
  </si>
  <si>
    <t xml:space="preserve">C`: Constante                                                      C` = </t>
  </si>
  <si>
    <t xml:space="preserve">n = Coeficiente de Rugosidad del Canal </t>
  </si>
  <si>
    <t>n =</t>
  </si>
  <si>
    <t xml:space="preserve">S = Pendiente del Canal </t>
  </si>
  <si>
    <t>S =</t>
  </si>
  <si>
    <t>m/m</t>
  </si>
  <si>
    <t>4. TUBERIA DE ADUCCIÓN</t>
  </si>
  <si>
    <t>RESPONSABLE</t>
  </si>
  <si>
    <t>NOMBRE</t>
  </si>
  <si>
    <t>FIRMA</t>
  </si>
  <si>
    <t>FECHA</t>
  </si>
  <si>
    <t>Interpolar a 0,075 cm</t>
  </si>
  <si>
    <t>ELABORO</t>
  </si>
  <si>
    <t>REVISO</t>
  </si>
  <si>
    <t>VERIFICO</t>
  </si>
  <si>
    <t>VALIDO</t>
  </si>
  <si>
    <t xml:space="preserve">b: Ancho util de la Reja,                                        b = </t>
  </si>
  <si>
    <r>
      <t>m</t>
    </r>
    <r>
      <rPr>
        <b/>
        <vertAlign val="superscript"/>
        <sz val="10"/>
        <rFont val="Arial"/>
        <family val="2"/>
      </rPr>
      <t>3</t>
    </r>
    <r>
      <rPr>
        <b/>
        <sz val="10"/>
        <rFont val="Arial"/>
        <family val="2"/>
      </rPr>
      <t>/s</t>
    </r>
  </si>
  <si>
    <t>La ecuación fue tomada del libro Acueducto, teoria y diseño de Freddy Corcho e Ignacio Duque. Ecuación 2.69 página 103.</t>
  </si>
  <si>
    <r>
      <t>Q</t>
    </r>
    <r>
      <rPr>
        <b/>
        <vertAlign val="subscript"/>
        <sz val="10"/>
        <rFont val="Arial"/>
        <family val="2"/>
      </rPr>
      <t>C</t>
    </r>
    <r>
      <rPr>
        <b/>
        <sz val="10"/>
        <rFont val="Arial"/>
        <family val="2"/>
      </rPr>
      <t xml:space="preserve"> = 1,834 x b x H</t>
    </r>
    <r>
      <rPr>
        <b/>
        <vertAlign val="superscript"/>
        <sz val="10"/>
        <rFont val="Arial"/>
        <family val="2"/>
      </rPr>
      <t>3/2</t>
    </r>
  </si>
  <si>
    <t xml:space="preserve">b = Ancho de la Cresta del Vertedero,   b = </t>
  </si>
  <si>
    <t xml:space="preserve">H = Altura del Vertedero,                      H = </t>
  </si>
  <si>
    <t>PVC</t>
  </si>
  <si>
    <r>
      <t>Q</t>
    </r>
    <r>
      <rPr>
        <vertAlign val="subscript"/>
        <sz val="10"/>
        <rFont val="Arial"/>
        <family val="2"/>
      </rPr>
      <t xml:space="preserve"> </t>
    </r>
    <r>
      <rPr>
        <sz val="10"/>
        <rFont val="Arial"/>
        <family val="2"/>
      </rPr>
      <t xml:space="preserve">= Caudal Máximo de Captación,       </t>
    </r>
    <r>
      <rPr>
        <b/>
        <sz val="10"/>
        <rFont val="Arial"/>
        <family val="2"/>
      </rPr>
      <t>Q</t>
    </r>
    <r>
      <rPr>
        <b/>
        <vertAlign val="subscript"/>
        <sz val="10"/>
        <rFont val="Arial"/>
        <family val="2"/>
      </rPr>
      <t xml:space="preserve">C </t>
    </r>
    <r>
      <rPr>
        <b/>
        <sz val="10"/>
        <rFont val="Arial"/>
        <family val="2"/>
      </rPr>
      <t>=</t>
    </r>
  </si>
  <si>
    <t>La bocatoma no cuenta con vertedero de crecida por lo que en el momento que se presenta el caudal de creciente rebosará sobre la presa.</t>
  </si>
  <si>
    <t>A = Area de la tubería</t>
  </si>
  <si>
    <t>D = Diámetro de la tubería</t>
  </si>
  <si>
    <t xml:space="preserve">OBRAS HIDRAULICAS RURALES. Ing Hernan Materon Muñoz. A27 Universidad del Valle. Cuarta edicion,1991 
 Pág 3.69 - 3.77) </t>
  </si>
  <si>
    <t>MANUAL DE HIDRAULICA. J. M. Azevedo Netto, Guillermo Acosta Alvarez. Editorial Harla. Sexta edición, 1976.  Pág 79</t>
  </si>
  <si>
    <r>
      <t>H = [ Q</t>
    </r>
    <r>
      <rPr>
        <b/>
        <vertAlign val="subscript"/>
        <sz val="10"/>
        <rFont val="Arial"/>
        <family val="2"/>
      </rPr>
      <t>C</t>
    </r>
    <r>
      <rPr>
        <b/>
        <sz val="10"/>
        <rFont val="Arial"/>
        <family val="2"/>
      </rPr>
      <t xml:space="preserve"> / (1,834 x b) ]</t>
    </r>
    <r>
      <rPr>
        <b/>
        <vertAlign val="superscript"/>
        <sz val="10"/>
        <rFont val="Arial"/>
        <family val="2"/>
      </rPr>
      <t xml:space="preserve">2/3  </t>
    </r>
    <r>
      <rPr>
        <b/>
        <sz val="10"/>
        <rFont val="Arial"/>
        <family val="2"/>
      </rPr>
      <t xml:space="preserve"> -  Fórmula de Francis</t>
    </r>
  </si>
  <si>
    <t>La tubería que sale de la caja de derivación y que se encuentra en el fondo de la caja, corresponde a la línea de aducción entre la captación y el desarenador Angostura. Utilizando la expresión del tubo sujeto a descarga libre; se evaluará la capacidad hi</t>
  </si>
  <si>
    <r>
      <t>Ø</t>
    </r>
    <r>
      <rPr>
        <vertAlign val="subscript"/>
        <sz val="10"/>
        <rFont val="Arial"/>
        <family val="2"/>
      </rPr>
      <t>b:</t>
    </r>
    <r>
      <rPr>
        <sz val="10"/>
        <rFont val="Arial"/>
        <family val="2"/>
      </rPr>
      <t xml:space="preserve"> Diámetro de Barras,                             Ø</t>
    </r>
    <r>
      <rPr>
        <vertAlign val="subscript"/>
        <sz val="10"/>
        <rFont val="Arial"/>
        <family val="2"/>
      </rPr>
      <t>b</t>
    </r>
    <r>
      <rPr>
        <sz val="10"/>
        <rFont val="Arial"/>
        <family val="2"/>
      </rPr>
      <t xml:space="preserve"> = 1/2" = </t>
    </r>
  </si>
  <si>
    <t xml:space="preserve">C: Coeficiente de Descarga para Reja paralela y horizonatal,                                                         C = </t>
  </si>
  <si>
    <t>La captación de agua que se realiza sobre la Quebrada La Marinera, consiste en una bocatoma de fondo con rejilla dispuesta a un lado de la estructura. A continuación se efectuará el chequeo hidráulico de los diferentes elementos que componen el sistema.</t>
  </si>
  <si>
    <t>Como el vertedero de captación cuenta con una altura h=0,09 m, esté solamente podrá captar:</t>
  </si>
  <si>
    <r>
      <t>La captación es una bocatoma de fondo, cuya presa, construida en concreto reforzado, cuenta con un vertedero de captación de L = 0,27 m; a =</t>
    </r>
    <r>
      <rPr>
        <sz val="10"/>
        <color indexed="10"/>
        <rFont val="Arial"/>
        <family val="2"/>
      </rPr>
      <t xml:space="preserve"> </t>
    </r>
    <r>
      <rPr>
        <sz val="10"/>
        <rFont val="Arial"/>
        <family val="2"/>
      </rPr>
      <t>0,54m y h = 0,09 m sobre el cual se instaló una rejilla de sección de 0,30m x 0,30m y 10 varillas Ø1/2" espaciadas cada 1,25 cm en un solo cuerpo.</t>
    </r>
  </si>
  <si>
    <t>Las partículas menores a 0,075mm son difíciles de remover y requieren una estructura de mayor longitud, así como de tiempos de retención hidráulicos muy grandes lo que no es economicamente viable.</t>
  </si>
  <si>
    <t xml:space="preserve">Los parámetros básicos para realizar el chequeo son: Velocidad de sedimentación, Tiempo de sedimentación, Tiempo de retención hidráulica, Capacidad hidraulica, Velocidad horizontal, Velocidad de arrastre y el Numero de Reynolds   </t>
  </si>
  <si>
    <t>a) La capacidad máxima de captación de la bocatoma es de 15 L/s</t>
  </si>
  <si>
    <t>No existe como tal una estructura que funcione como un canal de derivación, solo se encuentra un pequeño paso en tuberia de PVC-P Ø4" que comunica la rejilla con dos pequeñas tanquetillas que actúan como cámara de retención de sólidos gruesos y de allí el agua sale hacia el desarenador de Santa Clara en tubería de PVC-P Ø4". De acuerdo con lo anterior, no se efectuará chequeo hidráulico para la derivación.</t>
  </si>
  <si>
    <t>2. REJILLA DE CAPTACIÓN DE LA BOCATOMA</t>
  </si>
  <si>
    <t xml:space="preserve">3. VERTEDERO CENTRAL </t>
  </si>
  <si>
    <t xml:space="preserve">4. VERTEDERO PARA CRECIDAS </t>
  </si>
  <si>
    <t>6. CONCLUSIONES Y RECOMENDACIONES</t>
  </si>
  <si>
    <t>1. INTRODUCCIÓN.</t>
  </si>
  <si>
    <t xml:space="preserve">5. CANAL DE DERIVACIÓN  </t>
  </si>
  <si>
    <t>(B.4.4.6.3 RAS/2000)</t>
  </si>
  <si>
    <t>(B.4.4.6.5 RAS/2000)</t>
  </si>
  <si>
    <t>(B.4.4.6.3  RAS/2000)</t>
  </si>
  <si>
    <t>b) La bocatoma debe impermeabilizarse y corregirse la fisuración del fondo de la presa para evitar la fuga de caudal.</t>
  </si>
  <si>
    <t>ANEXO 3.2.1.2  REVISIÓN DE LA CAPACIDAD HIDRÁULICA DE LA 
CAPTACIÓN SOBRE LA QUEBRADA LA MARINERA (AFLUENTE DE SANTA CLARA)</t>
  </si>
  <si>
    <t>El RAS/2000 considera que se deben retener partículas de arena fina (0,10 - 0,25mm), pero la experiencia y la literatura determinan que es necesario retener partÍculas en suspensión que tienen un diámetro mayor de 0,075mm (limo fino), para que no se presenten problemas en las tuberías que conducen el agua sin tratar y dificultades posteriores en el tratamiento del agua, ya que estas partículas con diámetros mayores a 0,01mm se precipitarian en el floculador y sedimentador, por lo que se requeriría períodos de limpieza y mantenimiento más cortos, lo cual afectaría el suministro de agua a la población.</t>
  </si>
  <si>
    <r>
      <t>Q</t>
    </r>
    <r>
      <rPr>
        <vertAlign val="subscript"/>
        <sz val="10"/>
        <rFont val="Calibri"/>
        <family val="2"/>
        <scheme val="minor"/>
      </rPr>
      <t>C:</t>
    </r>
    <r>
      <rPr>
        <sz val="10"/>
        <rFont val="Calibri"/>
        <family val="2"/>
        <scheme val="minor"/>
      </rPr>
      <t xml:space="preserve"> Caudal Máximo de Captación </t>
    </r>
  </si>
  <si>
    <r>
      <t>e: Relación de Vacíos en la Reja,  e = ((N</t>
    </r>
    <r>
      <rPr>
        <vertAlign val="subscript"/>
        <sz val="10"/>
        <rFont val="Calibri"/>
        <family val="2"/>
        <scheme val="minor"/>
      </rPr>
      <t>b</t>
    </r>
    <r>
      <rPr>
        <sz val="10"/>
        <rFont val="Calibri"/>
        <family val="2"/>
        <scheme val="minor"/>
      </rPr>
      <t>+1) x e</t>
    </r>
    <r>
      <rPr>
        <vertAlign val="subscript"/>
        <sz val="10"/>
        <rFont val="Calibri"/>
        <family val="2"/>
        <scheme val="minor"/>
      </rPr>
      <t>b</t>
    </r>
    <r>
      <rPr>
        <sz val="10"/>
        <rFont val="Calibri"/>
        <family val="2"/>
        <scheme val="minor"/>
      </rPr>
      <t>)/L =</t>
    </r>
  </si>
  <si>
    <r>
      <t>e</t>
    </r>
    <r>
      <rPr>
        <vertAlign val="subscript"/>
        <sz val="10"/>
        <rFont val="Calibri"/>
        <family val="2"/>
        <scheme val="minor"/>
      </rPr>
      <t>b:</t>
    </r>
    <r>
      <rPr>
        <sz val="10"/>
        <rFont val="Calibri"/>
        <family val="2"/>
        <scheme val="minor"/>
      </rPr>
      <t xml:space="preserve"> Espacio entre barras,                                     e</t>
    </r>
    <r>
      <rPr>
        <vertAlign val="subscript"/>
        <sz val="10"/>
        <rFont val="Calibri"/>
        <family val="2"/>
        <scheme val="minor"/>
      </rPr>
      <t>b</t>
    </r>
    <r>
      <rPr>
        <sz val="10"/>
        <rFont val="Calibri"/>
        <family val="2"/>
        <scheme val="minor"/>
      </rPr>
      <t xml:space="preserve"> = </t>
    </r>
  </si>
  <si>
    <r>
      <t>N</t>
    </r>
    <r>
      <rPr>
        <vertAlign val="subscript"/>
        <sz val="10"/>
        <rFont val="Calibri"/>
        <family val="2"/>
        <scheme val="minor"/>
      </rPr>
      <t>b:</t>
    </r>
    <r>
      <rPr>
        <sz val="10"/>
        <rFont val="Calibri"/>
        <family val="2"/>
        <scheme val="minor"/>
      </rPr>
      <t xml:space="preserve"> Número de Barras,                                         N</t>
    </r>
    <r>
      <rPr>
        <vertAlign val="subscript"/>
        <sz val="10"/>
        <rFont val="Calibri"/>
        <family val="2"/>
        <scheme val="minor"/>
      </rPr>
      <t xml:space="preserve">b </t>
    </r>
    <r>
      <rPr>
        <sz val="10"/>
        <rFont val="Calibri"/>
        <family val="2"/>
        <scheme val="minor"/>
      </rPr>
      <t>=</t>
    </r>
  </si>
  <si>
    <r>
      <t>m/s</t>
    </r>
    <r>
      <rPr>
        <vertAlign val="superscript"/>
        <sz val="10"/>
        <rFont val="Calibri"/>
        <family val="2"/>
        <scheme val="minor"/>
      </rPr>
      <t>2</t>
    </r>
  </si>
  <si>
    <r>
      <t>Q</t>
    </r>
    <r>
      <rPr>
        <b/>
        <vertAlign val="subscript"/>
        <sz val="10"/>
        <rFont val="Calibri"/>
        <family val="2"/>
        <scheme val="minor"/>
      </rPr>
      <t>C</t>
    </r>
    <r>
      <rPr>
        <b/>
        <sz val="10"/>
        <rFont val="Calibri"/>
        <family val="2"/>
        <scheme val="minor"/>
      </rPr>
      <t xml:space="preserve"> =</t>
    </r>
  </si>
  <si>
    <r>
      <t>Q</t>
    </r>
    <r>
      <rPr>
        <vertAlign val="subscript"/>
        <sz val="10"/>
        <rFont val="Calibri"/>
        <family val="2"/>
        <scheme val="minor"/>
      </rPr>
      <t xml:space="preserve"> </t>
    </r>
    <r>
      <rPr>
        <sz val="10"/>
        <rFont val="Calibri"/>
        <family val="2"/>
        <scheme val="minor"/>
      </rPr>
      <t>= Caudal Máximo de Captación,   Q</t>
    </r>
    <r>
      <rPr>
        <vertAlign val="subscript"/>
        <sz val="10"/>
        <rFont val="Calibri"/>
        <family val="2"/>
        <scheme val="minor"/>
      </rPr>
      <t xml:space="preserve">C </t>
    </r>
    <r>
      <rPr>
        <sz val="10"/>
        <rFont val="Calibri"/>
        <family val="2"/>
        <scheme val="minor"/>
      </rPr>
      <t>=</t>
    </r>
  </si>
  <si>
    <r>
      <t>m</t>
    </r>
    <r>
      <rPr>
        <vertAlign val="superscript"/>
        <sz val="10"/>
        <rFont val="Calibri"/>
        <family val="2"/>
        <scheme val="minor"/>
      </rPr>
      <t>3</t>
    </r>
    <r>
      <rPr>
        <sz val="10"/>
        <rFont val="Calibri"/>
        <family val="2"/>
        <scheme val="minor"/>
      </rPr>
      <t>/s</t>
    </r>
  </si>
  <si>
    <r>
      <t xml:space="preserve">H = Altura del Vertedero,                   </t>
    </r>
    <r>
      <rPr>
        <b/>
        <sz val="10"/>
        <rFont val="Calibri"/>
        <family val="2"/>
        <scheme val="minor"/>
      </rPr>
      <t xml:space="preserve">H = </t>
    </r>
  </si>
  <si>
    <r>
      <t>Q</t>
    </r>
    <r>
      <rPr>
        <vertAlign val="subscript"/>
        <sz val="10"/>
        <rFont val="Calibri"/>
        <family val="2"/>
        <scheme val="minor"/>
      </rPr>
      <t xml:space="preserve"> </t>
    </r>
    <r>
      <rPr>
        <sz val="10"/>
        <rFont val="Calibri"/>
        <family val="2"/>
        <scheme val="minor"/>
      </rPr>
      <t xml:space="preserve">= Caudal Máximo de Captación,       </t>
    </r>
    <r>
      <rPr>
        <b/>
        <sz val="10"/>
        <rFont val="Calibri"/>
        <family val="2"/>
        <scheme val="minor"/>
      </rPr>
      <t>Q</t>
    </r>
    <r>
      <rPr>
        <b/>
        <vertAlign val="subscript"/>
        <sz val="10"/>
        <rFont val="Calibri"/>
        <family val="2"/>
        <scheme val="minor"/>
      </rPr>
      <t xml:space="preserve">C </t>
    </r>
    <r>
      <rPr>
        <b/>
        <sz val="10"/>
        <rFont val="Calibri"/>
        <family val="2"/>
        <scheme val="minor"/>
      </rPr>
      <t>=</t>
    </r>
  </si>
  <si>
    <r>
      <t>m</t>
    </r>
    <r>
      <rPr>
        <vertAlign val="superscript"/>
        <sz val="10"/>
        <rFont val="Calibri"/>
        <family val="2"/>
        <scheme val="minor"/>
      </rPr>
      <t>2</t>
    </r>
  </si>
  <si>
    <r>
      <t>R</t>
    </r>
    <r>
      <rPr>
        <vertAlign val="subscript"/>
        <sz val="10"/>
        <rFont val="Calibri"/>
        <family val="2"/>
        <scheme val="minor"/>
      </rPr>
      <t xml:space="preserve">H </t>
    </r>
    <r>
      <rPr>
        <sz val="10"/>
        <rFont val="Calibri"/>
        <family val="2"/>
        <scheme val="minor"/>
      </rPr>
      <t>= Radio Hidráulico</t>
    </r>
  </si>
  <si>
    <r>
      <t>R</t>
    </r>
    <r>
      <rPr>
        <vertAlign val="subscript"/>
        <sz val="10"/>
        <rFont val="Calibri"/>
        <family val="2"/>
        <scheme val="minor"/>
      </rPr>
      <t>H</t>
    </r>
    <r>
      <rPr>
        <sz val="10"/>
        <rFont val="Calibri"/>
        <family val="2"/>
        <scheme val="minor"/>
      </rPr>
      <t xml:space="preserve"> = </t>
    </r>
  </si>
  <si>
    <t>1. INTRODUCCIÓN Y DESCRIPCIÓN</t>
  </si>
  <si>
    <t>2.1 Evaluación hidráulica de la rejilla de captación</t>
  </si>
  <si>
    <t>Para realizar el chequeo del caudal máximo de captación en la rejilla se tendrá en cuenta su geometría y sus diferentes componentes; para tal fin, se utilizará la siguiente expresión teórica:</t>
  </si>
  <si>
    <t>2. MEMORIAS DE EVALUACIÓN HIDRÁULICA</t>
  </si>
  <si>
    <r>
      <t>H = [ Q</t>
    </r>
    <r>
      <rPr>
        <b/>
        <vertAlign val="subscript"/>
        <sz val="10"/>
        <rFont val="Calibri"/>
        <family val="2"/>
        <scheme val="minor"/>
      </rPr>
      <t>C</t>
    </r>
    <r>
      <rPr>
        <b/>
        <sz val="10"/>
        <rFont val="Calibri"/>
        <family val="2"/>
        <scheme val="minor"/>
      </rPr>
      <t xml:space="preserve"> / (1,834 x b) ]</t>
    </r>
    <r>
      <rPr>
        <b/>
        <vertAlign val="superscript"/>
        <sz val="10"/>
        <rFont val="Calibri"/>
        <family val="2"/>
        <scheme val="minor"/>
      </rPr>
      <t xml:space="preserve">2/3          </t>
    </r>
    <r>
      <rPr>
        <b/>
        <sz val="10"/>
        <rFont val="Calibri"/>
        <family val="2"/>
        <scheme val="minor"/>
      </rPr>
      <t>(Referencia 2)</t>
    </r>
  </si>
  <si>
    <r>
      <t>H = [ Q</t>
    </r>
    <r>
      <rPr>
        <b/>
        <vertAlign val="subscript"/>
        <sz val="10"/>
        <rFont val="Calibri"/>
        <family val="2"/>
        <scheme val="minor"/>
      </rPr>
      <t>C</t>
    </r>
    <r>
      <rPr>
        <b/>
        <sz val="10"/>
        <rFont val="Calibri"/>
        <family val="2"/>
        <scheme val="minor"/>
      </rPr>
      <t xml:space="preserve"> / (1,834 x b) ]</t>
    </r>
    <r>
      <rPr>
        <b/>
        <vertAlign val="superscript"/>
        <sz val="10"/>
        <rFont val="Calibri"/>
        <family val="2"/>
        <scheme val="minor"/>
      </rPr>
      <t xml:space="preserve">2/3          </t>
    </r>
    <r>
      <rPr>
        <b/>
        <sz val="10"/>
        <rFont val="Calibri"/>
        <family val="2"/>
        <scheme val="minor"/>
      </rPr>
      <t>(Referencia 3)</t>
    </r>
  </si>
  <si>
    <r>
      <t>Q</t>
    </r>
    <r>
      <rPr>
        <b/>
        <vertAlign val="subscript"/>
        <sz val="10"/>
        <rFont val="Calibri"/>
        <family val="2"/>
        <scheme val="minor"/>
      </rPr>
      <t>C</t>
    </r>
    <r>
      <rPr>
        <b/>
        <sz val="10"/>
        <rFont val="Calibri"/>
        <family val="2"/>
        <scheme val="minor"/>
      </rPr>
      <t xml:space="preserve"> = 1,834 x b x H</t>
    </r>
    <r>
      <rPr>
        <b/>
        <vertAlign val="superscript"/>
        <sz val="10"/>
        <rFont val="Calibri"/>
        <family val="2"/>
        <scheme val="minor"/>
      </rPr>
      <t>3/2</t>
    </r>
    <r>
      <rPr>
        <b/>
        <sz val="10"/>
        <rFont val="Calibri"/>
        <family val="2"/>
        <scheme val="minor"/>
      </rPr>
      <t xml:space="preserve">           (Referencia 3)</t>
    </r>
  </si>
  <si>
    <r>
      <t>Q</t>
    </r>
    <r>
      <rPr>
        <b/>
        <vertAlign val="subscript"/>
        <sz val="10"/>
        <rFont val="Calibri"/>
        <family val="2"/>
        <scheme val="minor"/>
      </rPr>
      <t>C</t>
    </r>
    <r>
      <rPr>
        <b/>
        <sz val="10"/>
        <rFont val="Calibri"/>
        <family val="2"/>
        <scheme val="minor"/>
      </rPr>
      <t>= [ ( C * e * b</t>
    </r>
    <r>
      <rPr>
        <b/>
        <vertAlign val="superscript"/>
        <sz val="10"/>
        <rFont val="Calibri"/>
        <family val="2"/>
        <scheme val="minor"/>
      </rPr>
      <t>2/3</t>
    </r>
    <r>
      <rPr>
        <b/>
        <sz val="10"/>
        <rFont val="Calibri"/>
        <family val="2"/>
        <scheme val="minor"/>
      </rPr>
      <t xml:space="preserve"> * (2g)</t>
    </r>
    <r>
      <rPr>
        <b/>
        <vertAlign val="superscript"/>
        <sz val="10"/>
        <rFont val="Calibri"/>
        <family val="2"/>
        <scheme val="minor"/>
      </rPr>
      <t>1/2</t>
    </r>
    <r>
      <rPr>
        <b/>
        <sz val="10"/>
        <rFont val="Calibri"/>
        <family val="2"/>
        <scheme val="minor"/>
      </rPr>
      <t xml:space="preserve"> * L ) / ( C`</t>
    </r>
    <r>
      <rPr>
        <b/>
        <vertAlign val="superscript"/>
        <sz val="10"/>
        <rFont val="Calibri"/>
        <family val="2"/>
        <scheme val="minor"/>
      </rPr>
      <t xml:space="preserve">1/3 </t>
    </r>
    <r>
      <rPr>
        <b/>
        <sz val="10"/>
        <rFont val="Calibri"/>
        <family val="2"/>
        <scheme val="minor"/>
      </rPr>
      <t>) ]</t>
    </r>
    <r>
      <rPr>
        <b/>
        <vertAlign val="superscript"/>
        <sz val="10"/>
        <rFont val="Calibri"/>
        <family val="2"/>
        <scheme val="minor"/>
      </rPr>
      <t>3/2</t>
    </r>
    <r>
      <rPr>
        <b/>
        <sz val="10"/>
        <rFont val="Calibri"/>
        <family val="2"/>
        <scheme val="minor"/>
      </rPr>
      <t xml:space="preserve">          (Referencia 1 y 2)</t>
    </r>
  </si>
  <si>
    <r>
      <t>m</t>
    </r>
    <r>
      <rPr>
        <vertAlign val="superscript"/>
        <sz val="10"/>
        <rFont val="Calibri"/>
        <family val="2"/>
        <scheme val="minor"/>
      </rPr>
      <t>3</t>
    </r>
    <r>
      <rPr>
        <sz val="10"/>
        <rFont val="Calibri"/>
        <family val="2"/>
        <scheme val="minor"/>
      </rPr>
      <t>/s</t>
    </r>
    <r>
      <rPr>
        <sz val="8"/>
        <rFont val="Calibri"/>
        <family val="2"/>
        <scheme val="minor"/>
      </rPr>
      <t xml:space="preserve"> (tomado de la capacidad de la rejilla)</t>
    </r>
  </si>
  <si>
    <t>2.4 Evaluación hidráulica de la tubería de derivación</t>
  </si>
  <si>
    <t>hi =</t>
  </si>
  <si>
    <t>Prof. de salida de la tub. de derivación</t>
  </si>
  <si>
    <t>Prof. de llegada de la tub. de derivación</t>
  </si>
  <si>
    <t>hf =</t>
  </si>
  <si>
    <t>Longitud de llegada de la tub. de derivación</t>
  </si>
  <si>
    <t>Ld =</t>
  </si>
  <si>
    <t>Qd = Caudal Máximo de Transporte</t>
  </si>
  <si>
    <t>Qd =</t>
  </si>
  <si>
    <r>
      <t>Q</t>
    </r>
    <r>
      <rPr>
        <vertAlign val="subscript"/>
        <sz val="10"/>
        <rFont val="Calibri"/>
        <family val="2"/>
        <scheme val="minor"/>
      </rPr>
      <t xml:space="preserve"> </t>
    </r>
    <r>
      <rPr>
        <sz val="10"/>
        <rFont val="Calibri"/>
        <family val="2"/>
        <scheme val="minor"/>
      </rPr>
      <t>= Caudal Máximo de Captación,       Q</t>
    </r>
    <r>
      <rPr>
        <vertAlign val="subscript"/>
        <sz val="10"/>
        <rFont val="Calibri"/>
        <family val="2"/>
        <scheme val="minor"/>
      </rPr>
      <t xml:space="preserve">C </t>
    </r>
    <r>
      <rPr>
        <sz val="10"/>
        <rFont val="Calibri"/>
        <family val="2"/>
        <scheme val="minor"/>
      </rPr>
      <t>=</t>
    </r>
  </si>
  <si>
    <r>
      <t xml:space="preserve">Qd = 1/n </t>
    </r>
    <r>
      <rPr>
        <sz val="10"/>
        <rFont val="Calibri"/>
        <family val="2"/>
        <scheme val="minor"/>
      </rPr>
      <t>x</t>
    </r>
    <r>
      <rPr>
        <b/>
        <sz val="10"/>
        <rFont val="Calibri"/>
        <family val="2"/>
        <scheme val="minor"/>
      </rPr>
      <t xml:space="preserve"> A </t>
    </r>
    <r>
      <rPr>
        <sz val="10"/>
        <rFont val="Calibri"/>
        <family val="2"/>
        <scheme val="minor"/>
      </rPr>
      <t>x</t>
    </r>
    <r>
      <rPr>
        <b/>
        <sz val="10"/>
        <rFont val="Calibri"/>
        <family val="2"/>
        <scheme val="minor"/>
      </rPr>
      <t xml:space="preserve"> R</t>
    </r>
    <r>
      <rPr>
        <b/>
        <vertAlign val="subscript"/>
        <sz val="10"/>
        <rFont val="Calibri"/>
        <family val="2"/>
        <scheme val="minor"/>
      </rPr>
      <t>H</t>
    </r>
    <r>
      <rPr>
        <b/>
        <vertAlign val="superscript"/>
        <sz val="10"/>
        <rFont val="Calibri"/>
        <family val="2"/>
        <scheme val="minor"/>
      </rPr>
      <t xml:space="preserve">2/3 </t>
    </r>
    <r>
      <rPr>
        <sz val="10"/>
        <rFont val="Calibri"/>
        <family val="2"/>
        <scheme val="minor"/>
      </rPr>
      <t>x</t>
    </r>
    <r>
      <rPr>
        <b/>
        <vertAlign val="superscript"/>
        <sz val="10"/>
        <rFont val="Calibri"/>
        <family val="2"/>
        <scheme val="minor"/>
      </rPr>
      <t xml:space="preserve"> </t>
    </r>
    <r>
      <rPr>
        <b/>
        <sz val="10"/>
        <rFont val="Calibri"/>
        <family val="2"/>
        <scheme val="minor"/>
      </rPr>
      <t>S</t>
    </r>
    <r>
      <rPr>
        <b/>
        <vertAlign val="superscript"/>
        <sz val="10"/>
        <rFont val="Calibri"/>
        <family val="2"/>
        <scheme val="minor"/>
      </rPr>
      <t xml:space="preserve">1/2          </t>
    </r>
    <r>
      <rPr>
        <b/>
        <sz val="10"/>
        <rFont val="Calibri"/>
        <family val="2"/>
        <scheme val="minor"/>
      </rPr>
      <t>(Referencia 3)</t>
    </r>
  </si>
  <si>
    <t>Qa = Caudal Máximo de Captación</t>
  </si>
  <si>
    <t>Qa =</t>
  </si>
  <si>
    <t>3. CONCLUSIONES Y RECOMENDACIONES</t>
  </si>
  <si>
    <r>
      <t>Q = C x A x ( 2 x g x H^</t>
    </r>
    <r>
      <rPr>
        <b/>
        <vertAlign val="superscript"/>
        <sz val="10"/>
        <rFont val="Calibri"/>
        <family val="2"/>
        <scheme val="minor"/>
      </rPr>
      <t>3/2</t>
    </r>
    <r>
      <rPr>
        <b/>
        <sz val="10"/>
        <rFont val="Calibri"/>
        <family val="2"/>
        <scheme val="minor"/>
      </rPr>
      <t xml:space="preserve"> )^</t>
    </r>
    <r>
      <rPr>
        <b/>
        <vertAlign val="superscript"/>
        <sz val="10"/>
        <rFont val="Calibri"/>
        <family val="2"/>
        <scheme val="minor"/>
      </rPr>
      <t>1/2</t>
    </r>
    <r>
      <rPr>
        <b/>
        <sz val="10"/>
        <rFont val="Calibri"/>
        <family val="2"/>
        <scheme val="minor"/>
      </rPr>
      <t xml:space="preserve">          (Referencia 3)</t>
    </r>
  </si>
  <si>
    <r>
      <rPr>
        <b/>
        <i/>
        <sz val="9"/>
        <rFont val="Calibri"/>
        <family val="2"/>
        <scheme val="minor"/>
      </rPr>
      <t>Referencia 2:</t>
    </r>
    <r>
      <rPr>
        <i/>
        <sz val="9"/>
        <rFont val="Calibri"/>
        <family val="2"/>
        <scheme val="minor"/>
      </rPr>
      <t xml:space="preserve"> CORCHO Freddy, DUQUE Ignacio. Acueducto, teoria y diseño. Ed. Universidad Nacional de Colombia.</t>
    </r>
  </si>
  <si>
    <r>
      <rPr>
        <b/>
        <i/>
        <sz val="9"/>
        <rFont val="Calibri"/>
        <family val="2"/>
        <scheme val="minor"/>
      </rPr>
      <t>Referencia 3:</t>
    </r>
    <r>
      <rPr>
        <i/>
        <sz val="9"/>
        <rFont val="Calibri"/>
        <family val="2"/>
        <scheme val="minor"/>
      </rPr>
      <t xml:space="preserve"> AZEVEDO NETTO, J.M. y otros. Manual de hidraúlica. Editorial Harla. Sexta edición, 1976.</t>
    </r>
  </si>
  <si>
    <r>
      <rPr>
        <b/>
        <i/>
        <sz val="9"/>
        <rFont val="Calibri"/>
        <family val="2"/>
        <scheme val="minor"/>
      </rPr>
      <t>Referencia 1:</t>
    </r>
    <r>
      <rPr>
        <i/>
        <sz val="9"/>
        <rFont val="Calibri"/>
        <family val="2"/>
        <scheme val="minor"/>
      </rPr>
      <t xml:space="preserve"> MATERON MUÑOZ, Hernán. Obras hidráulicas rurales. Universidad del Valle. Cuarta edicion, 1991.</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</si>
  <si>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t>
    </r>
  </si>
  <si>
    <r>
      <t xml:space="preserve">1.2 Relación dimensiones de la estructura: </t>
    </r>
    <r>
      <rPr>
        <sz val="10"/>
        <rFont val="Calibri"/>
        <family val="2"/>
        <scheme val="minor"/>
      </rPr>
      <t>Se recomienda que la relación entre la longitud útil del desarenador y la profundidad efectiva para almacenamiento de arena sea 10 a 1. (Titulo B, Literal B.4.4.6.4).</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</si>
  <si>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
    </r>
  </si>
  <si>
    <r>
      <t>1.4 Sistema de evacuación de arenas:</t>
    </r>
    <r>
      <rPr>
        <sz val="10"/>
        <rFont val="Calibri"/>
        <family val="2"/>
        <scheme val="minor"/>
      </rPr>
      <t xml:space="preserve"> El dispositivo para la evacuación de arenas debe tener una pendiente mínima del 5%. La pendiente de las tolvas debe estar entre 5% y 8% (Titulo B, Literal B.4.4.6.6).</t>
    </r>
  </si>
  <si>
    <r>
      <t xml:space="preserve">1.5 Rebose y limpieza: </t>
    </r>
    <r>
      <rPr>
        <sz val="10"/>
        <rFont val="Calibri"/>
        <family val="2"/>
        <scheme val="minor"/>
      </rPr>
      <t>Dichos dispositivos deben conectarse a una tubería o canal de descarga cuyo diámetro o ancho sea como mínimo de 25 cm y/o tener una pendiente superior al 2% (Titulo B, Literal B.4.4.6.6).</t>
    </r>
  </si>
  <si>
    <r>
      <t xml:space="preserve">1.6 Velocidad de sedimentación: </t>
    </r>
    <r>
      <rPr>
        <sz val="10"/>
        <rFont val="Calibri"/>
        <family val="2"/>
        <scheme val="minor"/>
      </rPr>
      <t>La relación entre la velocidad horizontal y la velocidad de sedimentación de las partículas a remover, debe ser menor de 20 (Titulo B, Literal B.4.4.6.3).</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</si>
  <si>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t>
    </r>
  </si>
  <si>
    <r>
      <t xml:space="preserve">1.8 Peso específico de las partículas: </t>
    </r>
    <r>
      <rPr>
        <sz val="10"/>
        <rFont val="Calibri"/>
        <family val="2"/>
        <scheme val="minor"/>
      </rPr>
      <t>El peso específico de las arenas a remover en el desarenador, se puede adoptar en 2,65 g/cm³ (Titulo B, Literal B.4.4.6.3).</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</si>
  <si>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entre 3% y 5%. (Titulo B, Literal B.4.4.6.2)</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</si>
  <si>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(Titulo B, Literal B.4.4.6.4). </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</si>
  <si>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desarenador no debe ser menor del 75%. (Titulo B, Literal B.4.4.6.5).</t>
    </r>
  </si>
  <si>
    <r>
      <t xml:space="preserve">1.8 Peso específico de las partículas: </t>
    </r>
    <r>
      <rPr>
        <sz val="10"/>
        <rFont val="Calibri"/>
        <family val="2"/>
        <scheme val="minor"/>
      </rPr>
      <t>El peso específico de las arenas a remover en el desarenador, se puede asumir en 2,65 g/cm³ (Titulo B, Literal B.4.4.6.3).</t>
    </r>
  </si>
  <si>
    <r>
      <t>cm</t>
    </r>
    <r>
      <rPr>
        <vertAlign val="superscript"/>
        <sz val="10"/>
        <rFont val="Calibri"/>
        <family val="2"/>
        <scheme val="minor"/>
      </rPr>
      <t>2</t>
    </r>
    <r>
      <rPr>
        <sz val="10"/>
        <rFont val="Calibri"/>
        <family val="2"/>
        <scheme val="minor"/>
      </rPr>
      <t>/s</t>
    </r>
  </si>
  <si>
    <r>
      <t>cm/s</t>
    </r>
    <r>
      <rPr>
        <vertAlign val="superscript"/>
        <sz val="10"/>
        <rFont val="Calibri"/>
        <family val="2"/>
        <scheme val="minor"/>
      </rPr>
      <t>2</t>
    </r>
  </si>
  <si>
    <r>
      <t>* Peso Específico de la Arena                      r</t>
    </r>
    <r>
      <rPr>
        <vertAlign val="subscript"/>
        <sz val="10"/>
        <rFont val="Calibri"/>
        <family val="2"/>
        <scheme val="minor"/>
      </rPr>
      <t xml:space="preserve">S </t>
    </r>
    <r>
      <rPr>
        <sz val="10"/>
        <rFont val="Calibri"/>
        <family val="2"/>
        <scheme val="minor"/>
      </rPr>
      <t>=</t>
    </r>
  </si>
  <si>
    <r>
      <t>gr/cm</t>
    </r>
    <r>
      <rPr>
        <vertAlign val="superscript"/>
        <sz val="10"/>
        <rFont val="Calibri"/>
        <family val="2"/>
        <scheme val="minor"/>
      </rPr>
      <t>3</t>
    </r>
  </si>
  <si>
    <r>
      <t>* Peso Específico del Agua                           r</t>
    </r>
    <r>
      <rPr>
        <vertAlign val="subscript"/>
        <sz val="10"/>
        <rFont val="Calibri"/>
        <family val="2"/>
        <scheme val="minor"/>
      </rPr>
      <t xml:space="preserve"> </t>
    </r>
    <r>
      <rPr>
        <sz val="10"/>
        <rFont val="Calibri"/>
        <family val="2"/>
        <scheme val="minor"/>
      </rPr>
      <t>=</t>
    </r>
  </si>
  <si>
    <r>
      <t>V</t>
    </r>
    <r>
      <rPr>
        <b/>
        <vertAlign val="subscript"/>
        <sz val="10"/>
        <rFont val="Calibri"/>
        <family val="2"/>
        <scheme val="minor"/>
      </rPr>
      <t>S</t>
    </r>
    <r>
      <rPr>
        <b/>
        <sz val="10"/>
        <rFont val="Calibri"/>
        <family val="2"/>
        <scheme val="minor"/>
      </rPr>
      <t>= [ g * ( r</t>
    </r>
    <r>
      <rPr>
        <b/>
        <vertAlign val="subscript"/>
        <sz val="10"/>
        <rFont val="Calibri"/>
        <family val="2"/>
        <scheme val="minor"/>
      </rPr>
      <t>S</t>
    </r>
    <r>
      <rPr>
        <b/>
        <sz val="10"/>
        <rFont val="Calibri"/>
        <family val="2"/>
        <scheme val="minor"/>
      </rPr>
      <t xml:space="preserve"> - r) * d</t>
    </r>
    <r>
      <rPr>
        <b/>
        <vertAlign val="superscript"/>
        <sz val="10"/>
        <rFont val="Calibri"/>
        <family val="2"/>
        <scheme val="minor"/>
      </rPr>
      <t xml:space="preserve">2 </t>
    </r>
    <r>
      <rPr>
        <b/>
        <sz val="10"/>
        <rFont val="Calibri"/>
        <family val="2"/>
        <scheme val="minor"/>
      </rPr>
      <t>] / (18 * µ)</t>
    </r>
  </si>
  <si>
    <r>
      <t>V</t>
    </r>
    <r>
      <rPr>
        <b/>
        <sz val="6"/>
        <rFont val="Calibri"/>
        <family val="2"/>
        <scheme val="minor"/>
      </rPr>
      <t>ST°C</t>
    </r>
    <r>
      <rPr>
        <b/>
        <sz val="10"/>
        <rFont val="Calibri"/>
        <family val="2"/>
        <scheme val="minor"/>
      </rPr>
      <t xml:space="preserve"> = V</t>
    </r>
    <r>
      <rPr>
        <b/>
        <sz val="6"/>
        <rFont val="Calibri"/>
        <family val="2"/>
        <scheme val="minor"/>
      </rPr>
      <t xml:space="preserve">S10°C </t>
    </r>
    <r>
      <rPr>
        <b/>
        <sz val="8"/>
        <rFont val="Calibri"/>
        <family val="2"/>
        <scheme val="minor"/>
      </rPr>
      <t xml:space="preserve">x </t>
    </r>
    <r>
      <rPr>
        <b/>
        <sz val="10"/>
        <rFont val="Calibri"/>
        <family val="2"/>
        <scheme val="minor"/>
      </rPr>
      <t>(T°C+23,3)/33,3</t>
    </r>
  </si>
  <si>
    <r>
      <t>V</t>
    </r>
    <r>
      <rPr>
        <vertAlign val="subscript"/>
        <sz val="10"/>
        <rFont val="Calibri"/>
        <family val="2"/>
        <scheme val="minor"/>
      </rPr>
      <t xml:space="preserve">S </t>
    </r>
    <r>
      <rPr>
        <sz val="10"/>
        <rFont val="Calibri"/>
        <family val="2"/>
        <scheme val="minor"/>
      </rPr>
      <t xml:space="preserve">= </t>
    </r>
  </si>
  <si>
    <r>
      <t>Vs según Allen - Hazen                       (T=10</t>
    </r>
    <r>
      <rPr>
        <vertAlign val="superscript"/>
        <sz val="10"/>
        <rFont val="Calibri"/>
        <family val="2"/>
        <scheme val="minor"/>
      </rPr>
      <t>o</t>
    </r>
    <r>
      <rPr>
        <sz val="10"/>
        <rFont val="Calibri"/>
        <family val="2"/>
        <scheme val="minor"/>
      </rPr>
      <t xml:space="preserve">C) = </t>
    </r>
  </si>
  <si>
    <r>
      <t>Velocidad de Sedimentación Promedio, V</t>
    </r>
    <r>
      <rPr>
        <b/>
        <vertAlign val="subscript"/>
        <sz val="10"/>
        <rFont val="Calibri"/>
        <family val="2"/>
        <scheme val="minor"/>
      </rPr>
      <t>S</t>
    </r>
    <r>
      <rPr>
        <b/>
        <sz val="10"/>
        <rFont val="Calibri"/>
        <family val="2"/>
        <scheme val="minor"/>
      </rPr>
      <t xml:space="preserve"> =</t>
    </r>
  </si>
  <si>
    <r>
      <t>m</t>
    </r>
    <r>
      <rPr>
        <vertAlign val="superscript"/>
        <sz val="10"/>
        <rFont val="Calibri"/>
        <family val="2"/>
        <scheme val="minor"/>
      </rPr>
      <t>3</t>
    </r>
  </si>
  <si>
    <r>
      <t>V</t>
    </r>
    <r>
      <rPr>
        <b/>
        <vertAlign val="subscript"/>
        <sz val="10"/>
        <rFont val="Calibri"/>
        <family val="2"/>
        <scheme val="minor"/>
      </rPr>
      <t>H</t>
    </r>
    <r>
      <rPr>
        <b/>
        <sz val="10"/>
        <rFont val="Calibri"/>
        <family val="2"/>
        <scheme val="minor"/>
      </rPr>
      <t xml:space="preserve"> = Q / ( Au x Hu )</t>
    </r>
  </si>
  <si>
    <r>
      <t>*  Velocidad Horizontal; V</t>
    </r>
    <r>
      <rPr>
        <b/>
        <vertAlign val="subscript"/>
        <sz val="10"/>
        <rFont val="Calibri"/>
        <family val="2"/>
        <scheme val="minor"/>
      </rPr>
      <t>H</t>
    </r>
    <r>
      <rPr>
        <b/>
        <sz val="10"/>
        <rFont val="Calibri"/>
        <family val="2"/>
        <scheme val="minor"/>
      </rPr>
      <t xml:space="preserve"> =</t>
    </r>
  </si>
  <si>
    <r>
      <t>V</t>
    </r>
    <r>
      <rPr>
        <vertAlign val="subscript"/>
        <sz val="10"/>
        <rFont val="Calibri"/>
        <family val="2"/>
        <scheme val="minor"/>
      </rPr>
      <t>H</t>
    </r>
    <r>
      <rPr>
        <sz val="10"/>
        <rFont val="Calibri"/>
        <family val="2"/>
        <scheme val="minor"/>
      </rPr>
      <t xml:space="preserve"> &lt; 0,25m/s</t>
    </r>
  </si>
  <si>
    <r>
      <t>Verificación de la relación "R</t>
    </r>
    <r>
      <rPr>
        <b/>
        <vertAlign val="subscript"/>
        <sz val="10"/>
        <rFont val="Calibri"/>
        <family val="2"/>
        <scheme val="minor"/>
      </rPr>
      <t>V</t>
    </r>
    <r>
      <rPr>
        <b/>
        <sz val="10"/>
        <rFont val="Calibri"/>
        <family val="2"/>
        <scheme val="minor"/>
      </rPr>
      <t>" : R</t>
    </r>
    <r>
      <rPr>
        <b/>
        <vertAlign val="subscript"/>
        <sz val="10"/>
        <rFont val="Calibri"/>
        <family val="2"/>
        <scheme val="minor"/>
      </rPr>
      <t>V</t>
    </r>
    <r>
      <rPr>
        <b/>
        <sz val="10"/>
        <rFont val="Calibri"/>
        <family val="2"/>
        <scheme val="minor"/>
      </rPr>
      <t xml:space="preserve"> = V</t>
    </r>
    <r>
      <rPr>
        <b/>
        <vertAlign val="subscript"/>
        <sz val="10"/>
        <rFont val="Calibri"/>
        <family val="2"/>
        <scheme val="minor"/>
      </rPr>
      <t>H</t>
    </r>
    <r>
      <rPr>
        <b/>
        <sz val="10"/>
        <rFont val="Calibri"/>
        <family val="2"/>
        <scheme val="minor"/>
      </rPr>
      <t xml:space="preserve"> / Vs</t>
    </r>
  </si>
  <si>
    <r>
      <t>R</t>
    </r>
    <r>
      <rPr>
        <b/>
        <vertAlign val="subscript"/>
        <sz val="10"/>
        <rFont val="Calibri"/>
        <family val="2"/>
        <scheme val="minor"/>
      </rPr>
      <t>V</t>
    </r>
    <r>
      <rPr>
        <b/>
        <sz val="10"/>
        <rFont val="Calibri"/>
        <family val="2"/>
        <scheme val="minor"/>
      </rPr>
      <t xml:space="preserve"> =</t>
    </r>
  </si>
  <si>
    <r>
      <t>R</t>
    </r>
    <r>
      <rPr>
        <vertAlign val="subscript"/>
        <sz val="10"/>
        <rFont val="Calibri"/>
        <family val="2"/>
        <scheme val="minor"/>
      </rPr>
      <t>V</t>
    </r>
    <r>
      <rPr>
        <sz val="10"/>
        <rFont val="Calibri"/>
        <family val="2"/>
        <scheme val="minor"/>
      </rPr>
      <t xml:space="preserve"> &lt; 20</t>
    </r>
  </si>
  <si>
    <r>
      <t>Viscosidad cinemática; (cm</t>
    </r>
    <r>
      <rPr>
        <vertAlign val="superscript"/>
        <sz val="10"/>
        <rFont val="Calibri"/>
        <family val="2"/>
        <scheme val="minor"/>
      </rPr>
      <t>2</t>
    </r>
    <r>
      <rPr>
        <sz val="10"/>
        <rFont val="Calibri"/>
        <family val="2"/>
        <scheme val="minor"/>
      </rPr>
      <t>/s)</t>
    </r>
  </si>
  <si>
    <t>2. DATOS INICIALES PARA EVALUACIÓN HIDRÁULICA</t>
  </si>
  <si>
    <t>3. MEMORIAS DE EVALUACIÓN HIDRÁULICA</t>
  </si>
  <si>
    <t xml:space="preserve">3.1 Evaluación hidráulica de la velocidad de sedimentación, Vs  </t>
  </si>
  <si>
    <t>3.2 Evaluación hidráulica del tiempo de sedimentación, t</t>
  </si>
  <si>
    <t>3.3 Evaluación hidráulica del tiempo de retención hidráulico, a</t>
  </si>
  <si>
    <t>Q =</t>
  </si>
  <si>
    <r>
      <t xml:space="preserve">Vs según Allen - Hazen               (T=Temp. proyecto </t>
    </r>
    <r>
      <rPr>
        <vertAlign val="superscript"/>
        <sz val="10"/>
        <rFont val="Calibri"/>
        <family val="2"/>
        <scheme val="minor"/>
      </rPr>
      <t>o</t>
    </r>
    <r>
      <rPr>
        <sz val="10"/>
        <rFont val="Calibri"/>
        <family val="2"/>
        <scheme val="minor"/>
      </rPr>
      <t xml:space="preserve">C) = </t>
    </r>
  </si>
  <si>
    <t>3.4 Evaluación hidráulica de la capacidad del desarenador, Q</t>
  </si>
  <si>
    <r>
      <t>3.5 Evaluación hidráulica de la velocidad horizontal, V</t>
    </r>
    <r>
      <rPr>
        <b/>
        <vertAlign val="subscript"/>
        <sz val="10"/>
        <rFont val="Calibri"/>
        <family val="2"/>
        <scheme val="minor"/>
      </rPr>
      <t>H</t>
    </r>
  </si>
  <si>
    <t>3.6 Evaluación hidráulica de la velocidad de arrastre, Va</t>
  </si>
  <si>
    <t xml:space="preserve">* Velocidad de Arrastre (Va) = </t>
  </si>
  <si>
    <t>3.7 Evaluación hidráulica del Número de Reynolds, Re</t>
  </si>
  <si>
    <t>Se revisará la altura de la lámina de agua que debe pasar sobre el vertedero de salida del desarenador, para tal fin se usará la fórmula de Francis.</t>
  </si>
  <si>
    <r>
      <rPr>
        <b/>
        <i/>
        <sz val="9"/>
        <rFont val="Calibri"/>
        <family val="2"/>
        <scheme val="minor"/>
      </rPr>
      <t>Referencia 1:</t>
    </r>
    <r>
      <rPr>
        <i/>
        <sz val="9"/>
        <rFont val="Calibri"/>
        <family val="2"/>
        <scheme val="minor"/>
      </rPr>
      <t xml:space="preserve"> CORCHO Freddy, DUQUE Ignacio. Acueducto, teoria y diseño. Ed. Universidad Nacional de Colombia.</t>
    </r>
  </si>
  <si>
    <r>
      <rPr>
        <b/>
        <i/>
        <sz val="9"/>
        <rFont val="Calibri"/>
        <family val="2"/>
        <scheme val="minor"/>
      </rPr>
      <t>Referencia 2:</t>
    </r>
    <r>
      <rPr>
        <i/>
        <sz val="9"/>
        <rFont val="Calibri"/>
        <family val="2"/>
        <scheme val="minor"/>
      </rPr>
      <t xml:space="preserve"> AZEVEDO NETTO, J.M. y otros. Manual de hidraúlica. Editorial Harla. Sexta edición, 1976.</t>
    </r>
  </si>
  <si>
    <r>
      <rPr>
        <b/>
        <i/>
        <sz val="9"/>
        <rFont val="Calibri"/>
        <family val="2"/>
        <scheme val="minor"/>
      </rPr>
      <t>Referencia 3:</t>
    </r>
    <r>
      <rPr>
        <i/>
        <sz val="9"/>
        <rFont val="Calibri"/>
        <family val="2"/>
        <scheme val="minor"/>
      </rPr>
      <t xml:space="preserve"> PEREZ PARRA, Jorge Arturo. Acueducto y Alcantarillado. Facultad de Minas, Univ. Nacional. Primera edición, 2002.</t>
    </r>
  </si>
  <si>
    <t>Re = d x Vs / µ           (Referencia 3)</t>
  </si>
  <si>
    <r>
      <t xml:space="preserve">Va = 125 x ( ( Ss - 1 ) d ) </t>
    </r>
    <r>
      <rPr>
        <b/>
        <vertAlign val="superscript"/>
        <sz val="10"/>
        <rFont val="Calibri"/>
        <family val="2"/>
        <scheme val="minor"/>
      </rPr>
      <t>0,5</t>
    </r>
    <r>
      <rPr>
        <b/>
        <sz val="10"/>
        <rFont val="Calibri"/>
        <family val="2"/>
        <scheme val="minor"/>
      </rPr>
      <t xml:space="preserve">     (Referencia 3)</t>
    </r>
  </si>
  <si>
    <t>(Referencia 1)</t>
  </si>
  <si>
    <t>3.8 Evaluación hidráulica del vertedero de salida</t>
  </si>
  <si>
    <r>
      <t xml:space="preserve">H = Lámina de agua sobre el vertedero,                 </t>
    </r>
    <r>
      <rPr>
        <b/>
        <sz val="10"/>
        <rFont val="Calibri"/>
        <family val="2"/>
        <scheme val="minor"/>
      </rPr>
      <t xml:space="preserve">H = </t>
    </r>
  </si>
  <si>
    <t>* Área superficial del tanque ; A =</t>
  </si>
  <si>
    <t>* Diám. del orificio de vaciado ; Øo =</t>
  </si>
  <si>
    <t>pulgadas</t>
  </si>
  <si>
    <t>* Área del orificio de vaciado ;  a =</t>
  </si>
  <si>
    <t>* Constante de la ecuación ;  m =</t>
  </si>
  <si>
    <t>(De acuerdo con el Numeral B.9.4.10 del RAS/2.000)</t>
  </si>
  <si>
    <t>* Aceleración de la gravedad ;  g =</t>
  </si>
  <si>
    <t>horas</t>
  </si>
  <si>
    <r>
      <t xml:space="preserve">* Tiempo de vaciado del tanque ;  </t>
    </r>
    <r>
      <rPr>
        <b/>
        <sz val="10"/>
        <rFont val="Calibri"/>
        <family val="2"/>
        <scheme val="minor"/>
      </rPr>
      <t>T =</t>
    </r>
  </si>
  <si>
    <t>* Lámina de agua al interior del tanque ; h =</t>
  </si>
  <si>
    <t>Debido a la eventual necesidad de desocupar por completo el desarenador, a causa de actividades de limpieza, reparación o mantenimiento; se realizará a continuación el chequeo del orificio de vaciado y desagüe, utilizando la siguiente expresión; tomando en cuenta el área superficial del tanque y el diámetro del orificio de desagüe.
Se anota que el desarenador existente posee dos orificos de Ø4" ubicados en el fondo del desarenador, los cuales funcionan en conjunto como desagüe de la estructura.</t>
  </si>
  <si>
    <t>* Cantidad de orificios de vaciado ; No =</t>
  </si>
  <si>
    <t>* Área del orificio de vaciado ;  ao =</t>
  </si>
  <si>
    <r>
      <t>T =  [ ( 2 x A x ( h )</t>
    </r>
    <r>
      <rPr>
        <b/>
        <vertAlign val="superscript"/>
        <sz val="10"/>
        <rFont val="Calibri"/>
        <family val="2"/>
        <scheme val="minor"/>
      </rPr>
      <t>1/2</t>
    </r>
    <r>
      <rPr>
        <b/>
        <sz val="10"/>
        <rFont val="Calibri"/>
        <family val="2"/>
        <scheme val="minor"/>
      </rPr>
      <t xml:space="preserve"> ) / ( m x ao x ( 2 x g )</t>
    </r>
    <r>
      <rPr>
        <b/>
        <vertAlign val="superscript"/>
        <sz val="10"/>
        <rFont val="Calibri"/>
        <family val="2"/>
        <scheme val="minor"/>
      </rPr>
      <t>1/2</t>
    </r>
    <r>
      <rPr>
        <b/>
        <sz val="10"/>
        <rFont val="Calibri"/>
        <family val="2"/>
        <scheme val="minor"/>
      </rPr>
      <t xml:space="preserve"> ) ]     ;     A = [ L x b ]     ;     a = [ ( p x Øo</t>
    </r>
    <r>
      <rPr>
        <b/>
        <vertAlign val="superscript"/>
        <sz val="10"/>
        <rFont val="Calibri"/>
        <family val="2"/>
        <scheme val="minor"/>
      </rPr>
      <t>2</t>
    </r>
    <r>
      <rPr>
        <b/>
        <sz val="10"/>
        <rFont val="Calibri"/>
        <family val="2"/>
        <scheme val="minor"/>
      </rPr>
      <t xml:space="preserve"> ) / 4 ]    ;    ao = [ No x a ]</t>
    </r>
  </si>
  <si>
    <t>3.10 Evaluación hidráulica del tiempo de vaciado y desagüe</t>
  </si>
  <si>
    <t>3.9 Evaluación hidráulica del dispositivo de entrada</t>
  </si>
  <si>
    <t>A continuación, se realiza el cálculo de la velocidad de paso por los orificos ubicados en la zona de entrada del desarenador; para tal fin, se usará la ecuación de continuidad como sigue.</t>
  </si>
  <si>
    <r>
      <t>Qe =  [ Ao x Ve ]     ;     Qe = [ Q / Noe ]     ;     Ao = [ ( p x Øoe</t>
    </r>
    <r>
      <rPr>
        <b/>
        <vertAlign val="superscript"/>
        <sz val="10"/>
        <rFont val="Calibri"/>
        <family val="2"/>
        <scheme val="minor"/>
      </rPr>
      <t>2</t>
    </r>
    <r>
      <rPr>
        <b/>
        <sz val="10"/>
        <rFont val="Calibri"/>
        <family val="2"/>
        <scheme val="minor"/>
      </rPr>
      <t xml:space="preserve"> ) / 4 ]    ;    At = [ Noe x Ao ]</t>
    </r>
  </si>
  <si>
    <t>* Diám. de orificios de entrada ; Øoe =</t>
  </si>
  <si>
    <t>* Área de cada orificio de entrada ;  Ao =</t>
  </si>
  <si>
    <t>* Caudal de entrada al desarenador ;  Q =</t>
  </si>
  <si>
    <t>* Caudal de paso en cada orificio ;  Qe =</t>
  </si>
  <si>
    <t>* Velocidad de paso en cada orificio ;  Ve =</t>
  </si>
  <si>
    <t>TERCER ESCENARIO (87,5% DE EFICIENCIA Y TAMAÑO DE PARTÍCULAS DE 0,020 cm - RAS/2000)</t>
  </si>
  <si>
    <t>CUARTO ESCENARIO (87,5% DE EFICIENCIA Y TAMAÑO DE PARTÍCULAS DE 0,020 cm - RAS/2000)</t>
  </si>
  <si>
    <t xml:space="preserve">Asumido </t>
  </si>
  <si>
    <t>2.3 Evaluación hidráulica del vertedero de crecidas</t>
  </si>
  <si>
    <r>
      <t>Ø</t>
    </r>
    <r>
      <rPr>
        <vertAlign val="subscript"/>
        <sz val="10"/>
        <rFont val="Calibri"/>
        <family val="2"/>
        <scheme val="minor"/>
      </rPr>
      <t>b:</t>
    </r>
    <r>
      <rPr>
        <sz val="10"/>
        <rFont val="Calibri"/>
        <family val="2"/>
        <scheme val="minor"/>
      </rPr>
      <t xml:space="preserve"> Diámetro de Barras,                             Ø</t>
    </r>
    <r>
      <rPr>
        <vertAlign val="subscript"/>
        <sz val="10"/>
        <rFont val="Calibri"/>
        <family val="2"/>
        <scheme val="minor"/>
      </rPr>
      <t>b</t>
    </r>
    <r>
      <rPr>
        <sz val="10"/>
        <rFont val="Calibri"/>
        <family val="2"/>
        <scheme val="minor"/>
      </rPr>
      <t xml:space="preserve"> = 3/8" = </t>
    </r>
  </si>
  <si>
    <t>2.2 Evaluación hidráulica del vertedero central de captación</t>
  </si>
  <si>
    <t>Aunque el anterior cálculo indica una determinada capacidad de captación del vertedero central existente, debe aclararse que dicho dispositivo cuenta con una altura máxima de 0,18m; razon por la cual se debe recalcular la capacida máxima teórica de captación del citado vertedero, para lo cual se usará la expresión de Francis, tal y como se indica a continuación:</t>
  </si>
  <si>
    <t>Para transportar las aguas provenientes de la rejilla de captación hacia el desarenador; la cual es en PVC-P de Ø4".  Para conocer su capacidad máxima de transporte se usará la fórmula de Manning, considerando condiciones a tubo lleno sin presurizar.</t>
  </si>
  <si>
    <t>La tubería que sale de la captación y que se encuentra en el fondo de dicha caja, corresponde a la línea de aducción entre la captación y el desarenador. Utilizando la expresión de la tubería sumergida; se evaluará la capacidad hidráulica máxima de transporte.
A continuación, se presenta el respectivo cálculo.</t>
  </si>
  <si>
    <t>La bocatoma La Berriondita  cuenta con vertedero de crecida, por lo que en el momento que se presenta el caudal de creciente de la quebrada, dicha cantidad de agua rebosará sobre la presa y pasará sobre ella.</t>
  </si>
  <si>
    <t xml:space="preserve"> EVALUACIÓN INFRAESTRUCTURA EXISTENTE</t>
  </si>
  <si>
    <t>Versión 1</t>
  </si>
  <si>
    <t>Consultoría para la elaboración de tres (3) estudios y diseños, que incluyen los componentes de riesgos y/o amenaza, de proyectos del sector Agua potable y Saneamiento básico, localizados en tres (3) municipios del departamento de Antioquia</t>
  </si>
  <si>
    <t>Corregimiento Cestillal - Municipio Cañasgordas  - Antioquia</t>
  </si>
  <si>
    <t xml:space="preserve">Debido a la eventual necesidad de desocupar por completo el desarenador, a causa de actividades de limpieza, reparación o mantenimiento; se realizará a continuación el chequeo del orificio de vaciado y desagüe, utilizando la siguiente expresión; tomando en cuenta el área superficial del tanque y el diámetro del orificio de desagüe.
</t>
  </si>
  <si>
    <t>La captación de agua que se realiza sobre la Quebrada La Berrionda, consiste en una bocatoma de fondo con rejilla dispuesta en el centro de la estructura. A continuación, se efectuará el chequeo hidráulico de los diferentes elementos que componen el sistema de captacion como son: rejilla y vertederos de captación</t>
  </si>
  <si>
    <r>
      <t>La captación existente es una bocatoma de fondo, cuya presa, construida en concreto reforzado, cuenta con un vertedero de captación de L = 3,0m; a =</t>
    </r>
    <r>
      <rPr>
        <sz val="10"/>
        <color indexed="10"/>
        <rFont val="Calibri"/>
        <family val="2"/>
        <scheme val="minor"/>
      </rPr>
      <t xml:space="preserve"> </t>
    </r>
    <r>
      <rPr>
        <sz val="10"/>
        <rFont val="Calibri"/>
        <family val="2"/>
        <scheme val="minor"/>
      </rPr>
      <t>0,75m y h = 0,8m, sobre el cual se instaló una rejilla de sección de 0,60m x 0,33m y 15 varillas redondas lisas de Ø3/8”, separadas cada 1,5cm en un solo cuerpo. De la cámara recolectora sale la tubería de aducción en Ø4 PVC-P hasta el desarenador</t>
    </r>
  </si>
  <si>
    <t>La captación existente es una bocatoma de fondo, cuya presa, construida en concreto reforzado, cuenta con un vertedero de captación de L = 3,7m; a = 0,75m y h = 0,85m, sobre el cual se instaló una rejilla de sección de 0,40m x 0,38m y 10 varillas redondas lisas de Ø3/8”, separadas cada 2,0cm en un solo cuerpo. De la cámara recolectora sale la tubería de aducción en Ø4 PVC-P hasta el desarenador.</t>
  </si>
  <si>
    <t>a) La estructura de captación se encuentra en buen estado, aunque se recomienda cambiar la rejilla actual e instalar una nueva cuya capacidad de captación sea proporcional a los requerimientos y demandas de agua del proyecto.</t>
  </si>
  <si>
    <t>La bocatoma La Berrionda  cuenta con vertedero de crecida, por lo que en el momento que se presenta el caudal de creciente de la quebrada, dicha cantidad de agua rebosará sobre la presa y pasará sobre ella.</t>
  </si>
  <si>
    <t xml:space="preserve">Para chequear el desarenador existente sobre la quebarada La Berrionda, se evaluará en un solo escenario para determinar la capacidad hidráulica de la estructura ya que ete sistema posee tratamiento posterior por lo tanto se evaluará para un 87,5% de eficiencia, tamaño de particula de 0,02 cm y TRH de 20 min, RAS2000): </t>
  </si>
  <si>
    <t>b) De acuerdo con los chequeos realizados a los componentes que conforman la captación La Berrionda, se puede concluir que la capacidad limitante la determina la tubería de aducción, por tanto, la máxima capacidad de captación es de 6,1L/s.</t>
  </si>
  <si>
    <t>Mayo de 2014</t>
  </si>
  <si>
    <t>El desarenador, es una estructura en fibra de vidrio que cuenta con zona de entrada, zona de sedimentación y zona de salida; la zona de sedimentación tiene una profundidad útil de h = 0,88 m, largo útil de 2,84 m, ancho útil de 0,8 m y profundidad total de 1,10 m hasta la tolva de lodos.  El agua llega por una tubería de PVC-P Ø4” a la cámara de entrada, ademas cuenta a la entrada con cuarenta y cinco (45) orificios de Ø1/2", distribuidos en la pantalla de entrada. En la parte final de la estructura, se ubica un vertedero de salida que entrega las aguas sedimentadas a la zona de salida y de allí a la tubería de conducción hacia la planta de potabilización ubicada en la zona rural del corregimiento, la cual es en PVC-P de Ø4” y Ø6”. No cuenta con ningún dispositivo para el manejo de las aguas que ingresan provenientes de la bocatoma, ni tampoco cuenta con paso directo que permita suspender el servicio para el mantenimiento del desarenador sin dejar de suministrar agua a la planta de potabilización.</t>
  </si>
  <si>
    <t>2.4 Evaluación hidráulica de la tubería de aducción</t>
  </si>
  <si>
    <t>ANEXO 1.1  REVISIÓN DE LA CAPACIDAD HIDRÁULICA
DE LA CAPTACIÓN SOBRE LA QUEBRADA LA BERRIONDA</t>
  </si>
  <si>
    <t>ANEXO 1.2  REVISIÓN DE LA CAPACIDAD HIDRÁULICA
DE LA CAPTACIÓN SOBRE LA QUEBRADA LA BERRIONDITA</t>
  </si>
  <si>
    <t xml:space="preserve">  REVISIÓN DE LA CAPACIDAD HIDRÁULICA
DEL DESARENADOR SOBRE LA BERRIONDA</t>
  </si>
  <si>
    <t>ANEXO 1.3  REVISIÓN DE LA CAPACIDAD HIDRÁULICA
DEL DESARENADOR SOBRE LA BERRIONDA</t>
  </si>
</sst>
</file>

<file path=xl/styles.xml><?xml version="1.0" encoding="utf-8"?>
<styleSheet xmlns="http://schemas.openxmlformats.org/spreadsheetml/2006/main">
  <numFmts count="9">
    <numFmt numFmtId="164" formatCode="0.0000"/>
    <numFmt numFmtId="165" formatCode="0.000"/>
    <numFmt numFmtId="166" formatCode="0.0"/>
    <numFmt numFmtId="167" formatCode="0.000000"/>
    <numFmt numFmtId="168" formatCode="&quot;Qc = &quot;\ 0.0\ &quot;l/s&quot;"/>
    <numFmt numFmtId="169" formatCode="0.0\ &quot;%&quot;"/>
    <numFmt numFmtId="170" formatCode="&quot;Qc = &quot;\ 0.0\ &quot;L/s&quot;"/>
    <numFmt numFmtId="171" formatCode="_([$€]* #,##0.00_);_([$€]* \(#,##0.00\);_([$€]* &quot;-&quot;??_);_(@_)"/>
    <numFmt numFmtId="172" formatCode="#,##0.0"/>
  </numFmts>
  <fonts count="41">
    <font>
      <sz val="10"/>
      <name val="Arial"/>
    </font>
    <font>
      <sz val="10"/>
      <name val="Arial"/>
      <family val="2"/>
    </font>
    <font>
      <vertAlign val="superscript"/>
      <sz val="10"/>
      <name val="Arial"/>
      <family val="2"/>
    </font>
    <font>
      <vertAlign val="subscript"/>
      <sz val="10"/>
      <name val="Arial"/>
      <family val="2"/>
    </font>
    <font>
      <b/>
      <sz val="10"/>
      <name val="Arial"/>
      <family val="2"/>
    </font>
    <font>
      <b/>
      <vertAlign val="subscript"/>
      <sz val="10"/>
      <name val="Arial"/>
      <family val="2"/>
    </font>
    <font>
      <b/>
      <vertAlign val="superscript"/>
      <sz val="10"/>
      <name val="Arial"/>
      <family val="2"/>
    </font>
    <font>
      <sz val="10"/>
      <name val="Arial"/>
      <family val="2"/>
    </font>
    <font>
      <b/>
      <sz val="12"/>
      <name val="Arial"/>
      <family val="2"/>
    </font>
    <font>
      <sz val="14"/>
      <name val="Arial"/>
      <family val="2"/>
    </font>
    <font>
      <b/>
      <sz val="11"/>
      <name val="Arial"/>
      <family val="2"/>
    </font>
    <font>
      <sz val="11"/>
      <name val="Arial"/>
      <family val="2"/>
    </font>
    <font>
      <sz val="8"/>
      <color indexed="81"/>
      <name val="Tahoma"/>
      <family val="2"/>
    </font>
    <font>
      <b/>
      <sz val="8"/>
      <color indexed="81"/>
      <name val="Tahoma"/>
      <family val="2"/>
    </font>
    <font>
      <b/>
      <sz val="10"/>
      <name val="Symbol"/>
      <family val="1"/>
      <charset val="2"/>
    </font>
    <font>
      <sz val="10"/>
      <color indexed="10"/>
      <name val="Arial"/>
      <family val="2"/>
    </font>
    <font>
      <sz val="12"/>
      <name val="Arial"/>
      <family val="2"/>
    </font>
    <font>
      <b/>
      <sz val="10"/>
      <name val="Arial"/>
      <family val="2"/>
    </font>
    <font>
      <sz val="10"/>
      <name val="Calibri"/>
      <family val="2"/>
      <scheme val="minor"/>
    </font>
    <font>
      <b/>
      <sz val="13"/>
      <name val="Calibri"/>
      <family val="2"/>
      <scheme val="minor"/>
    </font>
    <font>
      <b/>
      <sz val="12"/>
      <name val="Calibri"/>
      <family val="2"/>
      <scheme val="minor"/>
    </font>
    <font>
      <b/>
      <sz val="10"/>
      <name val="Calibri"/>
      <family val="2"/>
      <scheme val="minor"/>
    </font>
    <font>
      <sz val="10"/>
      <color indexed="10"/>
      <name val="Calibri"/>
      <family val="2"/>
      <scheme val="minor"/>
    </font>
    <font>
      <b/>
      <vertAlign val="subscript"/>
      <sz val="10"/>
      <name val="Calibri"/>
      <family val="2"/>
      <scheme val="minor"/>
    </font>
    <font>
      <b/>
      <vertAlign val="superscript"/>
      <sz val="10"/>
      <name val="Calibri"/>
      <family val="2"/>
      <scheme val="minor"/>
    </font>
    <font>
      <vertAlign val="subscript"/>
      <sz val="10"/>
      <name val="Calibri"/>
      <family val="2"/>
      <scheme val="minor"/>
    </font>
    <font>
      <vertAlign val="superscript"/>
      <sz val="10"/>
      <name val="Calibri"/>
      <family val="2"/>
      <scheme val="minor"/>
    </font>
    <font>
      <sz val="12"/>
      <name val="Calibri"/>
      <family val="2"/>
      <scheme val="minor"/>
    </font>
    <font>
      <sz val="10"/>
      <color rgb="FFFF0000"/>
      <name val="Calibri"/>
      <family val="2"/>
      <scheme val="minor"/>
    </font>
    <font>
      <sz val="8"/>
      <name val="Calibri"/>
      <family val="2"/>
      <scheme val="minor"/>
    </font>
    <font>
      <sz val="9"/>
      <name val="Calibri"/>
      <family val="2"/>
      <scheme val="minor"/>
    </font>
    <font>
      <i/>
      <sz val="9"/>
      <name val="Calibri"/>
      <family val="2"/>
      <scheme val="minor"/>
    </font>
    <font>
      <b/>
      <i/>
      <sz val="9"/>
      <name val="Calibri"/>
      <family val="2"/>
      <scheme val="minor"/>
    </font>
    <font>
      <sz val="13"/>
      <name val="Calibri"/>
      <family val="2"/>
      <scheme val="minor"/>
    </font>
    <font>
      <b/>
      <sz val="15"/>
      <name val="Calibri"/>
      <family val="2"/>
      <scheme val="minor"/>
    </font>
    <font>
      <b/>
      <sz val="10"/>
      <color indexed="10"/>
      <name val="Calibri"/>
      <family val="2"/>
      <scheme val="minor"/>
    </font>
    <font>
      <b/>
      <sz val="11"/>
      <name val="Calibri"/>
      <family val="2"/>
      <scheme val="minor"/>
    </font>
    <font>
      <b/>
      <sz val="6"/>
      <name val="Calibri"/>
      <family val="2"/>
      <scheme val="minor"/>
    </font>
    <font>
      <b/>
      <sz val="8"/>
      <name val="Calibri"/>
      <family val="2"/>
      <scheme val="minor"/>
    </font>
    <font>
      <b/>
      <sz val="9"/>
      <name val="Calibri"/>
      <family val="2"/>
      <scheme val="minor"/>
    </font>
    <font>
      <sz val="10"/>
      <name val="Calibri"/>
      <family val="2"/>
    </font>
  </fonts>
  <fills count="5">
    <fill>
      <patternFill patternType="none"/>
    </fill>
    <fill>
      <patternFill patternType="gray125"/>
    </fill>
    <fill>
      <patternFill patternType="solid">
        <fgColor indexed="13"/>
        <bgColor indexed="64"/>
      </patternFill>
    </fill>
    <fill>
      <patternFill patternType="solid">
        <fgColor rgb="FF92D050"/>
        <bgColor indexed="64"/>
      </patternFill>
    </fill>
    <fill>
      <patternFill patternType="solid">
        <fgColor theme="5" tint="0.399975585192419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medium">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s>
  <cellStyleXfs count="4">
    <xf numFmtId="0" fontId="0" fillId="0" borderId="0"/>
    <xf numFmtId="171" fontId="1" fillId="0" borderId="0" applyFont="0" applyFill="0" applyBorder="0" applyAlignment="0" applyProtection="0"/>
    <xf numFmtId="0" fontId="16" fillId="0" borderId="0"/>
    <xf numFmtId="0" fontId="9" fillId="0" borderId="0"/>
  </cellStyleXfs>
  <cellXfs count="241">
    <xf numFmtId="0" fontId="0" fillId="0" borderId="0" xfId="0"/>
    <xf numFmtId="0" fontId="4" fillId="0" borderId="0" xfId="0" applyFont="1" applyAlignment="1">
      <alignment horizontal="centerContinuous" vertical="center"/>
    </xf>
    <xf numFmtId="0" fontId="7" fillId="0" borderId="0" xfId="0" applyFont="1" applyAlignment="1">
      <alignment horizontal="centerContinuous" vertical="center"/>
    </xf>
    <xf numFmtId="0" fontId="7" fillId="0" borderId="0" xfId="0" applyFont="1" applyAlignment="1">
      <alignment horizontal="left" vertical="center"/>
    </xf>
    <xf numFmtId="0" fontId="8" fillId="0" borderId="0" xfId="0" applyFont="1" applyAlignment="1">
      <alignment horizontal="center" vertical="center" wrapText="1"/>
    </xf>
    <xf numFmtId="0" fontId="4" fillId="0" borderId="0" xfId="0" applyFont="1" applyAlignment="1">
      <alignment horizontal="left" vertical="center"/>
    </xf>
    <xf numFmtId="1" fontId="10" fillId="0" borderId="0" xfId="3" applyNumberFormat="1" applyFont="1" applyAlignment="1">
      <alignment horizontal="centerContinuous" vertical="center"/>
    </xf>
    <xf numFmtId="1" fontId="11" fillId="0" borderId="0" xfId="3" applyNumberFormat="1" applyFont="1" applyAlignment="1">
      <alignment vertical="center"/>
    </xf>
    <xf numFmtId="1" fontId="7" fillId="0" borderId="1" xfId="3" applyNumberFormat="1" applyFont="1" applyBorder="1" applyAlignment="1">
      <alignment horizontal="center" vertical="center" wrapText="1"/>
    </xf>
    <xf numFmtId="1" fontId="11" fillId="0" borderId="1" xfId="3" applyNumberFormat="1" applyFont="1" applyBorder="1" applyAlignment="1">
      <alignment horizontal="center" vertical="center"/>
    </xf>
    <xf numFmtId="1" fontId="7" fillId="0" borderId="1" xfId="3" applyNumberFormat="1" applyFont="1" applyBorder="1" applyAlignment="1">
      <alignment horizontal="center" vertical="center"/>
    </xf>
    <xf numFmtId="1" fontId="11" fillId="0" borderId="2" xfId="3" applyNumberFormat="1" applyFont="1" applyBorder="1" applyAlignment="1">
      <alignment horizontal="center" vertical="center"/>
    </xf>
    <xf numFmtId="167" fontId="7" fillId="0" borderId="1" xfId="3" applyNumberFormat="1" applyFont="1" applyBorder="1" applyAlignment="1">
      <alignment horizontal="center" vertical="center"/>
    </xf>
    <xf numFmtId="166" fontId="11" fillId="0" borderId="3" xfId="3" applyNumberFormat="1" applyFont="1" applyBorder="1" applyAlignment="1">
      <alignment horizontal="center" vertical="center"/>
    </xf>
    <xf numFmtId="0" fontId="4" fillId="0" borderId="0" xfId="0" applyFont="1" applyAlignment="1">
      <alignment vertical="center"/>
    </xf>
    <xf numFmtId="0" fontId="7" fillId="0" borderId="0" xfId="0" applyFont="1" applyAlignment="1">
      <alignment vertical="center"/>
    </xf>
    <xf numFmtId="2" fontId="4" fillId="0" borderId="4" xfId="0" applyNumberFormat="1" applyFont="1" applyBorder="1" applyAlignment="1">
      <alignment horizontal="right" vertical="center"/>
    </xf>
    <xf numFmtId="166" fontId="4" fillId="0" borderId="5" xfId="0" applyNumberFormat="1" applyFont="1" applyBorder="1" applyAlignment="1">
      <alignment horizontal="center" vertical="center"/>
    </xf>
    <xf numFmtId="0" fontId="4" fillId="0" borderId="3" xfId="0" applyFont="1" applyBorder="1" applyAlignment="1">
      <alignment horizontal="left" vertical="center"/>
    </xf>
    <xf numFmtId="165" fontId="7" fillId="0" borderId="0" xfId="0" applyNumberFormat="1" applyFont="1" applyAlignment="1">
      <alignment horizontal="right" vertical="center"/>
    </xf>
    <xf numFmtId="0" fontId="7" fillId="0" borderId="0" xfId="0" applyFont="1" applyAlignment="1">
      <alignment horizontal="right" vertical="center"/>
    </xf>
    <xf numFmtId="2" fontId="4" fillId="0" borderId="0" xfId="0" applyNumberFormat="1" applyFont="1" applyAlignment="1">
      <alignment horizontal="right" vertical="center"/>
    </xf>
    <xf numFmtId="2" fontId="11" fillId="0" borderId="1" xfId="3" applyNumberFormat="1" applyFont="1" applyBorder="1" applyAlignment="1">
      <alignment horizontal="center" vertical="center"/>
    </xf>
    <xf numFmtId="2" fontId="7" fillId="0" borderId="0" xfId="0" applyNumberFormat="1" applyFont="1" applyAlignment="1">
      <alignment vertical="center"/>
    </xf>
    <xf numFmtId="165" fontId="7" fillId="0" borderId="0" xfId="0" applyNumberFormat="1" applyFont="1" applyAlignment="1">
      <alignment vertical="center"/>
    </xf>
    <xf numFmtId="1" fontId="7" fillId="0" borderId="0" xfId="0" applyNumberFormat="1" applyFont="1" applyAlignment="1">
      <alignment vertical="center"/>
    </xf>
    <xf numFmtId="166" fontId="7" fillId="0" borderId="0" xfId="0" applyNumberFormat="1" applyFont="1" applyAlignment="1">
      <alignment vertical="center"/>
    </xf>
    <xf numFmtId="0" fontId="4" fillId="0" borderId="0" xfId="0" applyFont="1" applyFill="1" applyAlignment="1">
      <alignment vertical="center"/>
    </xf>
    <xf numFmtId="0" fontId="7" fillId="0" borderId="0" xfId="0" applyFont="1" applyFill="1" applyAlignment="1">
      <alignment vertical="center"/>
    </xf>
    <xf numFmtId="165" fontId="7" fillId="0" borderId="0" xfId="0" applyNumberFormat="1" applyFont="1" applyFill="1" applyAlignment="1">
      <alignment vertical="center"/>
    </xf>
    <xf numFmtId="2" fontId="7" fillId="0" borderId="0" xfId="0" applyNumberFormat="1" applyFont="1" applyAlignment="1">
      <alignment horizontal="right" vertical="center"/>
    </xf>
    <xf numFmtId="0" fontId="7" fillId="0" borderId="0" xfId="0" applyFont="1" applyAlignment="1">
      <alignment vertical="center" wrapText="1"/>
    </xf>
    <xf numFmtId="0" fontId="7" fillId="0" borderId="0" xfId="0" applyFont="1" applyAlignment="1">
      <alignment horizontal="center" vertical="center" wrapText="1"/>
    </xf>
    <xf numFmtId="0" fontId="7" fillId="0" borderId="0" xfId="0" applyFont="1" applyFill="1" applyAlignment="1">
      <alignment horizontal="right" vertical="center"/>
    </xf>
    <xf numFmtId="2" fontId="7" fillId="0" borderId="0" xfId="0" applyNumberFormat="1" applyFont="1" applyFill="1" applyAlignment="1">
      <alignment vertical="center"/>
    </xf>
    <xf numFmtId="0" fontId="7" fillId="0" borderId="0" xfId="0" applyFont="1" applyAlignment="1">
      <alignment horizontal="justify" vertical="center"/>
    </xf>
    <xf numFmtId="0" fontId="4" fillId="0" borderId="0" xfId="0" applyFont="1" applyFill="1" applyAlignment="1">
      <alignment horizontal="left" vertical="center"/>
    </xf>
    <xf numFmtId="0" fontId="4" fillId="0" borderId="0" xfId="0" applyFont="1" applyFill="1" applyAlignment="1">
      <alignment horizontal="centerContinuous"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vertical="center" wrapText="1"/>
    </xf>
    <xf numFmtId="0" fontId="4" fillId="0" borderId="6" xfId="0" applyFont="1" applyBorder="1" applyAlignment="1">
      <alignment horizontal="center" vertical="center"/>
    </xf>
    <xf numFmtId="0" fontId="4" fillId="0" borderId="7" xfId="0" applyFont="1" applyFill="1" applyBorder="1" applyAlignment="1">
      <alignment horizontal="center" vertical="center"/>
    </xf>
    <xf numFmtId="0" fontId="7" fillId="0" borderId="1" xfId="0" applyFont="1" applyBorder="1" applyAlignment="1">
      <alignment horizontal="center" vertical="center"/>
    </xf>
    <xf numFmtId="0" fontId="7" fillId="0" borderId="8"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Fill="1" applyBorder="1" applyAlignment="1">
      <alignment horizontal="center" vertical="center"/>
    </xf>
    <xf numFmtId="0" fontId="0" fillId="0" borderId="0" xfId="0" applyAlignment="1">
      <alignment vertical="center"/>
    </xf>
    <xf numFmtId="0" fontId="0" fillId="0" borderId="11" xfId="0"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3" fontId="0" fillId="0" borderId="14" xfId="0" applyNumberFormat="1" applyBorder="1"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165" fontId="0" fillId="0" borderId="0" xfId="0" applyNumberFormat="1" applyAlignment="1">
      <alignment vertical="center"/>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172" fontId="0" fillId="0" borderId="14" xfId="0" applyNumberFormat="1" applyBorder="1" applyAlignment="1">
      <alignment horizontal="center" vertical="center"/>
    </xf>
    <xf numFmtId="0" fontId="0" fillId="2" borderId="2" xfId="0" applyFill="1" applyBorder="1" applyAlignment="1">
      <alignment horizontal="center" vertical="center"/>
    </xf>
    <xf numFmtId="0" fontId="0" fillId="2" borderId="18" xfId="0" applyFill="1"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0" fillId="0" borderId="9"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7"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2" fontId="15" fillId="0" borderId="0" xfId="0" applyNumberFormat="1" applyFont="1" applyAlignment="1">
      <alignment horizontal="right" vertical="center"/>
    </xf>
    <xf numFmtId="165" fontId="4" fillId="0" borderId="0" xfId="0" applyNumberFormat="1" applyFont="1" applyAlignment="1">
      <alignment horizontal="right" vertical="center"/>
    </xf>
    <xf numFmtId="0" fontId="18" fillId="0" borderId="0" xfId="0" applyFont="1" applyAlignment="1">
      <alignment vertical="center"/>
    </xf>
    <xf numFmtId="0" fontId="20" fillId="0" borderId="0" xfId="0" applyFont="1" applyAlignment="1">
      <alignment horizontal="center" vertical="center" wrapText="1"/>
    </xf>
    <xf numFmtId="0" fontId="21" fillId="0" borderId="0" xfId="0" applyFont="1" applyAlignment="1">
      <alignment vertical="center"/>
    </xf>
    <xf numFmtId="0" fontId="21" fillId="0" borderId="0" xfId="0" applyFont="1" applyFill="1" applyAlignment="1">
      <alignment horizontal="center" vertical="center" wrapText="1"/>
    </xf>
    <xf numFmtId="0" fontId="18" fillId="0" borderId="0" xfId="0" applyFont="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centerContinuous" vertical="center"/>
    </xf>
    <xf numFmtId="0" fontId="18" fillId="0" borderId="0" xfId="0" applyFont="1" applyAlignment="1">
      <alignment vertical="center" wrapText="1"/>
    </xf>
    <xf numFmtId="2" fontId="18" fillId="0" borderId="0" xfId="0" applyNumberFormat="1" applyFont="1" applyAlignment="1">
      <alignment vertical="center"/>
    </xf>
    <xf numFmtId="0" fontId="18" fillId="0" borderId="0" xfId="0" applyFont="1" applyAlignment="1">
      <alignment horizontal="right" vertical="center"/>
    </xf>
    <xf numFmtId="166" fontId="18" fillId="0" borderId="0" xfId="0" applyNumberFormat="1" applyFont="1" applyAlignment="1">
      <alignment vertical="center"/>
    </xf>
    <xf numFmtId="0" fontId="18" fillId="0" borderId="0" xfId="0" applyFont="1" applyAlignment="1">
      <alignment horizontal="left" vertical="center"/>
    </xf>
    <xf numFmtId="0" fontId="18" fillId="0" borderId="0" xfId="0" applyFont="1" applyFill="1" applyAlignment="1">
      <alignment horizontal="right" vertical="center"/>
    </xf>
    <xf numFmtId="2" fontId="18" fillId="0" borderId="0" xfId="0" applyNumberFormat="1" applyFont="1" applyAlignment="1">
      <alignment horizontal="right" vertical="center"/>
    </xf>
    <xf numFmtId="165" fontId="18" fillId="0" borderId="0" xfId="0" applyNumberFormat="1" applyFont="1" applyAlignment="1">
      <alignment vertical="center"/>
    </xf>
    <xf numFmtId="0" fontId="18" fillId="0" borderId="0" xfId="0" applyFont="1" applyFill="1" applyAlignment="1">
      <alignment vertical="center"/>
    </xf>
    <xf numFmtId="165" fontId="18" fillId="0" borderId="0" xfId="0" applyNumberFormat="1" applyFont="1" applyFill="1" applyAlignment="1">
      <alignment vertical="center"/>
    </xf>
    <xf numFmtId="2" fontId="18" fillId="0" borderId="0" xfId="0" applyNumberFormat="1" applyFont="1" applyFill="1" applyAlignment="1">
      <alignment vertical="center"/>
    </xf>
    <xf numFmtId="0" fontId="18" fillId="0" borderId="0" xfId="0" applyFont="1" applyAlignment="1">
      <alignment horizontal="centerContinuous" vertical="center"/>
    </xf>
    <xf numFmtId="0" fontId="21" fillId="0" borderId="0" xfId="0" applyFont="1" applyAlignment="1">
      <alignment horizontal="left" vertical="center"/>
    </xf>
    <xf numFmtId="165" fontId="18" fillId="0" borderId="0" xfId="0" applyNumberFormat="1" applyFont="1" applyAlignment="1">
      <alignment horizontal="right" vertical="center"/>
    </xf>
    <xf numFmtId="2" fontId="22" fillId="0" borderId="0" xfId="0" applyNumberFormat="1" applyFont="1" applyAlignment="1">
      <alignment horizontal="right" vertical="center"/>
    </xf>
    <xf numFmtId="2" fontId="21" fillId="0" borderId="0" xfId="0" applyNumberFormat="1" applyFont="1" applyAlignment="1">
      <alignment horizontal="right" vertical="center"/>
    </xf>
    <xf numFmtId="165" fontId="21" fillId="0" borderId="0" xfId="0" applyNumberFormat="1" applyFont="1" applyAlignment="1">
      <alignment horizontal="right" vertical="center"/>
    </xf>
    <xf numFmtId="0" fontId="18" fillId="0" borderId="0" xfId="0" applyFont="1" applyAlignment="1">
      <alignment horizontal="justify" vertical="center"/>
    </xf>
    <xf numFmtId="0" fontId="21" fillId="0" borderId="0" xfId="0" applyFont="1" applyFill="1" applyAlignment="1">
      <alignment horizontal="centerContinuous" vertical="center"/>
    </xf>
    <xf numFmtId="0" fontId="21" fillId="0" borderId="0" xfId="0" applyFont="1" applyFill="1" applyAlignment="1">
      <alignment vertical="center"/>
    </xf>
    <xf numFmtId="0" fontId="27" fillId="0" borderId="0" xfId="0" applyFont="1" applyFill="1" applyAlignment="1">
      <alignment horizontal="right" vertical="center"/>
    </xf>
    <xf numFmtId="0" fontId="18" fillId="0" borderId="0" xfId="0" applyFont="1" applyFill="1" applyAlignment="1">
      <alignment horizontal="centerContinuous" vertical="center"/>
    </xf>
    <xf numFmtId="0" fontId="27" fillId="0" borderId="0" xfId="0" applyFont="1" applyFill="1" applyAlignment="1">
      <alignment horizontal="centerContinuous" vertical="center"/>
    </xf>
    <xf numFmtId="2" fontId="18" fillId="0" borderId="0" xfId="0" applyNumberFormat="1" applyFont="1" applyFill="1" applyAlignment="1">
      <alignment horizontal="right" vertical="center"/>
    </xf>
    <xf numFmtId="0" fontId="18" fillId="0" borderId="0" xfId="0" applyFont="1" applyFill="1" applyAlignment="1">
      <alignment horizontal="left" vertical="center"/>
    </xf>
    <xf numFmtId="2" fontId="21" fillId="0" borderId="0" xfId="0" applyNumberFormat="1" applyFont="1" applyFill="1" applyBorder="1" applyAlignment="1">
      <alignment horizontal="right" vertical="center"/>
    </xf>
    <xf numFmtId="0" fontId="21" fillId="0" borderId="0" xfId="0" applyFont="1" applyFill="1" applyBorder="1" applyAlignment="1">
      <alignment horizontal="left" vertical="center"/>
    </xf>
    <xf numFmtId="1" fontId="18" fillId="0" borderId="0" xfId="0" applyNumberFormat="1" applyFont="1" applyAlignment="1">
      <alignment vertical="center"/>
    </xf>
    <xf numFmtId="0" fontId="18" fillId="0" borderId="0" xfId="0" applyFont="1" applyFill="1" applyAlignment="1">
      <alignment vertical="center" wrapText="1"/>
    </xf>
    <xf numFmtId="166" fontId="18" fillId="0" borderId="0" xfId="0" applyNumberFormat="1" applyFont="1" applyFill="1" applyAlignment="1">
      <alignment vertical="center"/>
    </xf>
    <xf numFmtId="2" fontId="21" fillId="0" borderId="0" xfId="0" applyNumberFormat="1" applyFont="1" applyBorder="1" applyAlignment="1">
      <alignment horizontal="right" vertical="center"/>
    </xf>
    <xf numFmtId="0" fontId="21" fillId="0" borderId="0" xfId="0" applyFont="1" applyBorder="1" applyAlignment="1">
      <alignment horizontal="left" vertical="center"/>
    </xf>
    <xf numFmtId="166" fontId="21" fillId="3" borderId="0" xfId="0" applyNumberFormat="1" applyFont="1" applyFill="1" applyBorder="1" applyAlignment="1">
      <alignment horizontal="center" vertical="center"/>
    </xf>
    <xf numFmtId="1" fontId="28" fillId="0" borderId="0" xfId="0" applyNumberFormat="1" applyFont="1" applyFill="1" applyAlignment="1">
      <alignment vertical="center"/>
    </xf>
    <xf numFmtId="0" fontId="28" fillId="0" borderId="0" xfId="0" applyFont="1" applyFill="1" applyAlignment="1">
      <alignment vertical="center"/>
    </xf>
    <xf numFmtId="2" fontId="28" fillId="0" borderId="0" xfId="0" applyNumberFormat="1" applyFont="1" applyFill="1" applyAlignment="1">
      <alignment vertical="center"/>
    </xf>
    <xf numFmtId="165" fontId="28" fillId="0" borderId="0" xfId="0" applyNumberFormat="1" applyFont="1" applyFill="1" applyAlignment="1">
      <alignment vertical="center"/>
    </xf>
    <xf numFmtId="166" fontId="21" fillId="0" borderId="0" xfId="0" applyNumberFormat="1" applyFont="1" applyAlignment="1">
      <alignment horizontal="right" vertical="center"/>
    </xf>
    <xf numFmtId="2" fontId="28" fillId="0" borderId="0" xfId="0" applyNumberFormat="1" applyFont="1" applyAlignment="1">
      <alignment horizontal="right" vertical="center"/>
    </xf>
    <xf numFmtId="0" fontId="30" fillId="0" borderId="0" xfId="0" applyFont="1" applyFill="1" applyBorder="1" applyAlignment="1">
      <alignment horizontal="center" vertical="center"/>
    </xf>
    <xf numFmtId="2" fontId="30" fillId="0" borderId="0" xfId="0" applyNumberFormat="1" applyFont="1" applyFill="1" applyBorder="1" applyAlignment="1">
      <alignment horizontal="center" vertical="center"/>
    </xf>
    <xf numFmtId="165" fontId="30" fillId="0" borderId="0" xfId="0" applyNumberFormat="1" applyFont="1" applyFill="1" applyBorder="1" applyAlignment="1">
      <alignment horizontal="center" vertical="center"/>
    </xf>
    <xf numFmtId="0" fontId="20" fillId="0" borderId="0" xfId="0" applyFont="1" applyAlignment="1">
      <alignment horizontal="centerContinuous" vertical="center"/>
    </xf>
    <xf numFmtId="0" fontId="21" fillId="0" borderId="0" xfId="0" applyFont="1" applyAlignment="1">
      <alignment horizontal="center" vertical="center"/>
    </xf>
    <xf numFmtId="0" fontId="27" fillId="0" borderId="0" xfId="0" applyFont="1" applyAlignment="1">
      <alignment vertical="center"/>
    </xf>
    <xf numFmtId="0" fontId="18" fillId="0" borderId="0" xfId="0" applyFont="1" applyAlignment="1">
      <alignment horizontal="center" vertical="center"/>
    </xf>
    <xf numFmtId="1" fontId="21" fillId="0" borderId="0" xfId="0" applyNumberFormat="1" applyFont="1" applyAlignment="1">
      <alignment horizontal="center" vertical="center" wrapText="1"/>
    </xf>
    <xf numFmtId="1" fontId="21" fillId="0" borderId="0" xfId="0" applyNumberFormat="1" applyFont="1" applyAlignment="1">
      <alignment horizontal="center" vertical="center"/>
    </xf>
    <xf numFmtId="0" fontId="33" fillId="0" borderId="0" xfId="0" applyFont="1" applyAlignment="1">
      <alignment vertical="center"/>
    </xf>
    <xf numFmtId="0" fontId="21" fillId="0" borderId="0" xfId="0" applyFont="1" applyAlignment="1">
      <alignment horizontal="center" vertical="center" wrapText="1"/>
    </xf>
    <xf numFmtId="164" fontId="18" fillId="0" borderId="0" xfId="0" applyNumberFormat="1" applyFont="1" applyAlignment="1">
      <alignment vertical="center"/>
    </xf>
    <xf numFmtId="0" fontId="21" fillId="0" borderId="0" xfId="2" applyNumberFormat="1" applyFont="1" applyAlignment="1">
      <alignment horizontal="left" vertical="center"/>
    </xf>
    <xf numFmtId="2" fontId="22" fillId="0" borderId="0" xfId="0" applyNumberFormat="1" applyFont="1" applyAlignment="1">
      <alignment vertical="center"/>
    </xf>
    <xf numFmtId="0" fontId="36" fillId="0" borderId="0" xfId="0" applyFont="1" applyAlignment="1">
      <alignment horizontal="center" vertical="center"/>
    </xf>
    <xf numFmtId="165" fontId="21" fillId="0" borderId="0" xfId="0" applyNumberFormat="1" applyFont="1" applyAlignment="1">
      <alignment vertical="center"/>
    </xf>
    <xf numFmtId="0" fontId="21" fillId="0" borderId="0" xfId="0" applyFont="1" applyAlignment="1">
      <alignment horizontal="right" vertical="center"/>
    </xf>
    <xf numFmtId="1" fontId="35" fillId="0" borderId="0" xfId="0" applyNumberFormat="1" applyFont="1" applyAlignment="1">
      <alignment vertical="center"/>
    </xf>
    <xf numFmtId="0" fontId="18" fillId="0" borderId="0" xfId="3" applyFont="1" applyBorder="1" applyAlignment="1">
      <alignment horizontal="left" vertical="center"/>
    </xf>
    <xf numFmtId="0" fontId="21" fillId="0" borderId="0" xfId="0" applyFont="1" applyBorder="1" applyAlignment="1">
      <alignment vertical="center"/>
    </xf>
    <xf numFmtId="0" fontId="18" fillId="0" borderId="0" xfId="0" applyFont="1" applyBorder="1" applyAlignment="1">
      <alignment vertical="center"/>
    </xf>
    <xf numFmtId="166" fontId="21" fillId="0" borderId="0" xfId="0" applyNumberFormat="1" applyFont="1" applyBorder="1" applyAlignment="1">
      <alignment vertical="center"/>
    </xf>
    <xf numFmtId="2" fontId="21" fillId="0" borderId="0" xfId="0" applyNumberFormat="1" applyFont="1" applyAlignment="1">
      <alignment horizontal="center" vertical="center"/>
    </xf>
    <xf numFmtId="0" fontId="21" fillId="0" borderId="0" xfId="0" applyFont="1" applyBorder="1" applyAlignment="1">
      <alignment horizontal="center" vertical="center"/>
    </xf>
    <xf numFmtId="0" fontId="21" fillId="0" borderId="0" xfId="0" applyFont="1" applyFill="1" applyAlignment="1">
      <alignment horizontal="right" vertical="center"/>
    </xf>
    <xf numFmtId="2" fontId="18" fillId="0" borderId="0" xfId="0" applyNumberFormat="1" applyFont="1" applyFill="1" applyAlignment="1">
      <alignment horizontal="center" vertical="center"/>
    </xf>
    <xf numFmtId="0" fontId="22" fillId="0" borderId="0" xfId="0" applyFont="1" applyAlignment="1">
      <alignment vertical="center"/>
    </xf>
    <xf numFmtId="2" fontId="21" fillId="0" borderId="0" xfId="0" applyNumberFormat="1" applyFont="1" applyFill="1" applyAlignment="1">
      <alignment vertical="center"/>
    </xf>
    <xf numFmtId="166" fontId="21" fillId="0" borderId="0" xfId="0" applyNumberFormat="1" applyFont="1" applyAlignment="1">
      <alignment vertical="center"/>
    </xf>
    <xf numFmtId="169" fontId="18" fillId="0" borderId="0" xfId="0" applyNumberFormat="1" applyFont="1" applyAlignment="1">
      <alignment horizontal="left" vertical="center"/>
    </xf>
    <xf numFmtId="164" fontId="18" fillId="0" borderId="0" xfId="0" applyNumberFormat="1" applyFont="1" applyAlignment="1">
      <alignment horizontal="center" vertical="center"/>
    </xf>
    <xf numFmtId="166" fontId="18" fillId="0" borderId="0" xfId="0" applyNumberFormat="1" applyFont="1" applyAlignment="1">
      <alignment horizontal="right" vertical="center"/>
    </xf>
    <xf numFmtId="164" fontId="18" fillId="0" borderId="0" xfId="0" applyNumberFormat="1" applyFont="1" applyAlignment="1">
      <alignment horizontal="right" vertical="center"/>
    </xf>
    <xf numFmtId="0" fontId="33" fillId="0" borderId="0" xfId="0" applyFont="1" applyAlignment="1">
      <alignment vertical="center" wrapText="1"/>
    </xf>
    <xf numFmtId="2" fontId="21" fillId="3" borderId="0" xfId="0" applyNumberFormat="1" applyFont="1" applyFill="1" applyAlignment="1">
      <alignment horizontal="right" vertical="center"/>
    </xf>
    <xf numFmtId="165" fontId="21" fillId="3" borderId="0" xfId="0" applyNumberFormat="1" applyFont="1" applyFill="1" applyAlignment="1">
      <alignment horizontal="right" vertical="center"/>
    </xf>
    <xf numFmtId="166" fontId="21" fillId="3" borderId="0" xfId="0" applyNumberFormat="1" applyFont="1" applyFill="1" applyAlignment="1">
      <alignment horizontal="right" vertical="center"/>
    </xf>
    <xf numFmtId="0" fontId="39" fillId="0" borderId="0" xfId="0" applyFont="1" applyFill="1" applyAlignment="1">
      <alignment horizontal="left" vertical="center"/>
    </xf>
    <xf numFmtId="166" fontId="18" fillId="0" borderId="0" xfId="0" applyNumberFormat="1" applyFont="1" applyFill="1" applyAlignment="1">
      <alignment horizontal="right" vertical="center"/>
    </xf>
    <xf numFmtId="1" fontId="28" fillId="0" borderId="0" xfId="0" applyNumberFormat="1" applyFont="1" applyFill="1" applyAlignment="1">
      <alignment horizontal="right" vertical="center"/>
    </xf>
    <xf numFmtId="165" fontId="18" fillId="0" borderId="0" xfId="0" applyNumberFormat="1" applyFont="1" applyFill="1" applyAlignment="1">
      <alignment horizontal="right" vertical="center"/>
    </xf>
    <xf numFmtId="2" fontId="21" fillId="0" borderId="0" xfId="0" applyNumberFormat="1" applyFont="1" applyFill="1" applyAlignment="1">
      <alignment horizontal="right" vertical="center"/>
    </xf>
    <xf numFmtId="2" fontId="28" fillId="0" borderId="0" xfId="0" applyNumberFormat="1" applyFont="1" applyFill="1" applyAlignment="1">
      <alignment horizontal="right" vertical="center"/>
    </xf>
    <xf numFmtId="166" fontId="28" fillId="0" borderId="0" xfId="0" applyNumberFormat="1" applyFont="1" applyFill="1" applyAlignment="1">
      <alignment horizontal="right" vertical="center"/>
    </xf>
    <xf numFmtId="0" fontId="18" fillId="0" borderId="0" xfId="0" applyFont="1" applyAlignment="1">
      <alignment vertical="center"/>
    </xf>
    <xf numFmtId="0" fontId="18" fillId="0" borderId="0" xfId="0" applyFont="1" applyAlignment="1">
      <alignment horizontal="justify" vertical="center"/>
    </xf>
    <xf numFmtId="0" fontId="21" fillId="0" borderId="0" xfId="0" applyFont="1" applyAlignment="1">
      <alignment horizontal="center" vertical="center"/>
    </xf>
    <xf numFmtId="0" fontId="18" fillId="0" borderId="0" xfId="0" applyFont="1" applyAlignment="1">
      <alignment horizontal="center" vertical="center"/>
    </xf>
    <xf numFmtId="0" fontId="21" fillId="0" borderId="0" xfId="0" applyFont="1" applyBorder="1" applyAlignment="1">
      <alignment horizontal="center" vertical="center"/>
    </xf>
    <xf numFmtId="166" fontId="21" fillId="4" borderId="0" xfId="0" applyNumberFormat="1" applyFont="1" applyFill="1" applyBorder="1" applyAlignment="1">
      <alignment horizontal="right" vertical="center"/>
    </xf>
    <xf numFmtId="1" fontId="18" fillId="4" borderId="0" xfId="0" applyNumberFormat="1" applyFont="1" applyFill="1" applyAlignment="1">
      <alignment horizontal="right" vertical="center"/>
    </xf>
    <xf numFmtId="0" fontId="18" fillId="0" borderId="0" xfId="0" applyFont="1" applyAlignment="1">
      <alignment vertical="center"/>
    </xf>
    <xf numFmtId="0" fontId="18" fillId="0" borderId="0" xfId="0" applyFont="1" applyAlignment="1">
      <alignment horizontal="justify" vertical="center" wrapText="1"/>
    </xf>
    <xf numFmtId="0" fontId="18" fillId="0" borderId="0" xfId="0" applyFont="1" applyAlignment="1">
      <alignment vertical="center"/>
    </xf>
    <xf numFmtId="0" fontId="21" fillId="0" borderId="0" xfId="0" applyFont="1" applyAlignment="1">
      <alignment horizontal="center" vertical="center"/>
    </xf>
    <xf numFmtId="0" fontId="21"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pplyAlignment="1">
      <alignment vertical="center"/>
    </xf>
    <xf numFmtId="0" fontId="18" fillId="0" borderId="0" xfId="0" applyFont="1" applyAlignment="1">
      <alignment horizontal="justify" vertical="center"/>
    </xf>
    <xf numFmtId="0" fontId="18" fillId="0" borderId="0" xfId="0" applyFont="1" applyAlignment="1">
      <alignment vertical="center"/>
    </xf>
    <xf numFmtId="0" fontId="40" fillId="0" borderId="0" xfId="0" applyFont="1" applyBorder="1" applyAlignment="1">
      <alignment vertical="center"/>
    </xf>
    <xf numFmtId="2" fontId="22" fillId="0" borderId="0" xfId="0" applyNumberFormat="1" applyFont="1" applyFill="1" applyAlignment="1">
      <alignment horizontal="right" vertical="center"/>
    </xf>
    <xf numFmtId="166" fontId="21" fillId="0" borderId="0" xfId="0" applyNumberFormat="1" applyFont="1" applyFill="1" applyAlignment="1">
      <alignment horizontal="right" vertical="center"/>
    </xf>
    <xf numFmtId="0" fontId="21" fillId="0" borderId="0" xfId="0" applyFont="1" applyFill="1" applyAlignment="1">
      <alignment horizontal="left" vertical="center"/>
    </xf>
    <xf numFmtId="0" fontId="18" fillId="0" borderId="0" xfId="0" applyFont="1" applyFill="1" applyAlignment="1">
      <alignment vertical="center"/>
    </xf>
    <xf numFmtId="0" fontId="19" fillId="0" borderId="0" xfId="0" applyFont="1" applyFill="1" applyAlignment="1">
      <alignment horizontal="center" vertical="center" wrapText="1"/>
    </xf>
    <xf numFmtId="0" fontId="18" fillId="0" borderId="0" xfId="0" applyFont="1" applyAlignment="1">
      <alignment horizontal="justify" vertical="center" wrapText="1"/>
    </xf>
    <xf numFmtId="0" fontId="21" fillId="0" borderId="0" xfId="0" applyFont="1" applyAlignment="1">
      <alignment horizontal="center" vertical="center"/>
    </xf>
    <xf numFmtId="0" fontId="31" fillId="0" borderId="0" xfId="0" applyFont="1" applyFill="1" applyAlignment="1">
      <alignment horizontal="justify" vertical="center" wrapText="1"/>
    </xf>
    <xf numFmtId="0" fontId="21" fillId="0" borderId="0" xfId="0" applyFont="1" applyFill="1" applyAlignment="1">
      <alignment horizontal="center" vertical="center"/>
    </xf>
    <xf numFmtId="0" fontId="18" fillId="0" borderId="0" xfId="0" applyFont="1" applyAlignment="1">
      <alignment horizontal="justify" vertical="center"/>
    </xf>
    <xf numFmtId="0" fontId="18" fillId="0" borderId="0" xfId="0" applyFont="1" applyAlignment="1">
      <alignment vertical="center"/>
    </xf>
    <xf numFmtId="0" fontId="18" fillId="0" borderId="0" xfId="0" applyFont="1" applyFill="1" applyAlignment="1">
      <alignment horizontal="justify" vertical="center" wrapText="1"/>
    </xf>
    <xf numFmtId="0" fontId="21" fillId="0" borderId="0" xfId="0" applyFont="1" applyAlignment="1">
      <alignment horizontal="justify" vertical="center" wrapText="1"/>
    </xf>
    <xf numFmtId="0" fontId="0" fillId="0" borderId="0" xfId="0" applyAlignment="1">
      <alignment horizontal="justify" vertical="center" wrapText="1"/>
    </xf>
    <xf numFmtId="0" fontId="18" fillId="0" borderId="0" xfId="0" applyFont="1" applyAlignment="1">
      <alignment horizontal="center" vertical="center"/>
    </xf>
    <xf numFmtId="0" fontId="21" fillId="0" borderId="0" xfId="0" applyFont="1" applyFill="1" applyAlignment="1">
      <alignment horizontal="justify" vertical="center" wrapText="1"/>
    </xf>
    <xf numFmtId="0" fontId="0" fillId="0" borderId="0" xfId="0" applyFill="1" applyAlignment="1">
      <alignment horizontal="justify" vertical="center" wrapText="1"/>
    </xf>
    <xf numFmtId="0" fontId="18" fillId="0" borderId="0" xfId="0" applyFont="1" applyFill="1" applyAlignment="1">
      <alignment vertical="center"/>
    </xf>
    <xf numFmtId="0" fontId="40" fillId="0" borderId="0" xfId="0" applyFont="1" applyBorder="1" applyAlignment="1">
      <alignment horizontal="center" vertical="center"/>
    </xf>
    <xf numFmtId="0" fontId="40" fillId="0" borderId="0" xfId="0" applyFont="1" applyBorder="1" applyAlignment="1">
      <alignment horizontal="center" vertical="center" wrapText="1"/>
    </xf>
    <xf numFmtId="0" fontId="7" fillId="0" borderId="0" xfId="0" applyFont="1" applyFill="1" applyAlignment="1">
      <alignment horizontal="justify" vertical="center" wrapText="1"/>
    </xf>
    <xf numFmtId="0" fontId="7" fillId="0" borderId="0" xfId="0" applyFont="1" applyAlignment="1">
      <alignment horizontal="justify" vertical="center" wrapText="1"/>
    </xf>
    <xf numFmtId="0" fontId="4" fillId="0" borderId="0" xfId="0" applyFont="1" applyAlignment="1">
      <alignment horizontal="center" vertical="center"/>
    </xf>
    <xf numFmtId="0" fontId="7" fillId="0" borderId="0" xfId="0" applyFont="1" applyAlignment="1">
      <alignment horizontal="justify" vertical="center"/>
    </xf>
    <xf numFmtId="0" fontId="7" fillId="0" borderId="0" xfId="0" applyFont="1" applyAlignment="1">
      <alignment vertical="center"/>
    </xf>
    <xf numFmtId="0" fontId="7" fillId="0" borderId="0" xfId="0" applyFont="1" applyAlignment="1">
      <alignment horizontal="left" vertical="center" wrapText="1"/>
    </xf>
    <xf numFmtId="168" fontId="4" fillId="0" borderId="0" xfId="0" applyNumberFormat="1" applyFont="1" applyBorder="1" applyAlignment="1">
      <alignment horizontal="center" vertical="center"/>
    </xf>
    <xf numFmtId="170" fontId="4" fillId="0" borderId="4" xfId="0" applyNumberFormat="1" applyFont="1" applyBorder="1" applyAlignment="1">
      <alignment horizontal="center" vertical="center"/>
    </xf>
    <xf numFmtId="170" fontId="4" fillId="0" borderId="3" xfId="0" applyNumberFormat="1" applyFont="1" applyBorder="1" applyAlignment="1">
      <alignment horizontal="center" vertical="center"/>
    </xf>
    <xf numFmtId="0" fontId="7" fillId="0" borderId="0" xfId="0" applyNumberFormat="1" applyFont="1" applyAlignment="1">
      <alignment horizontal="justify"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4" xfId="0" applyFont="1" applyBorder="1" applyAlignment="1">
      <alignment horizontal="center" vertical="center"/>
    </xf>
    <xf numFmtId="0" fontId="4" fillId="0" borderId="3"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0" xfId="0" applyFont="1" applyFill="1" applyAlignment="1">
      <alignment horizontal="center" vertical="center" wrapText="1"/>
    </xf>
    <xf numFmtId="0" fontId="7" fillId="0" borderId="0" xfId="0" applyFont="1" applyAlignment="1">
      <alignment vertical="center" wrapText="1"/>
    </xf>
    <xf numFmtId="0" fontId="4" fillId="0" borderId="0" xfId="0" applyFont="1" applyAlignment="1">
      <alignment vertical="center"/>
    </xf>
    <xf numFmtId="0" fontId="0" fillId="0" borderId="0" xfId="0" applyAlignment="1">
      <alignment vertical="center"/>
    </xf>
    <xf numFmtId="0" fontId="4" fillId="0" borderId="0" xfId="0" applyFont="1" applyAlignment="1">
      <alignment horizontal="left" vertical="center"/>
    </xf>
    <xf numFmtId="0" fontId="7" fillId="0" borderId="0" xfId="0" applyFont="1" applyAlignment="1">
      <alignment horizontal="left" vertical="center"/>
    </xf>
    <xf numFmtId="1" fontId="21" fillId="0" borderId="0" xfId="0" applyNumberFormat="1" applyFont="1" applyAlignment="1">
      <alignment horizontal="justify" vertical="center" wrapText="1"/>
    </xf>
    <xf numFmtId="0" fontId="34" fillId="0" borderId="0" xfId="0" applyFont="1" applyAlignment="1">
      <alignment horizontal="center" vertical="center" wrapText="1"/>
    </xf>
    <xf numFmtId="0" fontId="34" fillId="0" borderId="0" xfId="0" applyFont="1" applyAlignment="1">
      <alignment horizontal="center" vertical="center"/>
    </xf>
    <xf numFmtId="1" fontId="18" fillId="0" borderId="0" xfId="0" applyNumberFormat="1" applyFont="1" applyAlignment="1">
      <alignment horizontal="justify" vertical="center" wrapText="1"/>
    </xf>
    <xf numFmtId="0" fontId="20" fillId="0" borderId="0" xfId="0" applyFont="1" applyAlignment="1">
      <alignment horizontal="center" vertical="center"/>
    </xf>
    <xf numFmtId="0" fontId="18" fillId="0" borderId="0" xfId="0" applyFont="1" applyFill="1" applyAlignment="1">
      <alignment horizontal="justify" vertical="center"/>
    </xf>
    <xf numFmtId="0" fontId="21" fillId="0" borderId="0" xfId="0" applyFont="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Alignment="1">
      <alignment horizontal="center" vertical="center"/>
    </xf>
    <xf numFmtId="0" fontId="39" fillId="0" borderId="0" xfId="0" applyFont="1" applyAlignment="1">
      <alignment horizontal="justify" vertical="center"/>
    </xf>
    <xf numFmtId="0" fontId="4" fillId="0" borderId="0" xfId="0" applyFont="1" applyAlignment="1">
      <alignment horizontal="justify" vertical="center"/>
    </xf>
    <xf numFmtId="0" fontId="0" fillId="0" borderId="29" xfId="0" applyBorder="1" applyAlignment="1">
      <alignment horizontal="justify" vertical="center"/>
    </xf>
    <xf numFmtId="0" fontId="0" fillId="0" borderId="30" xfId="0" applyBorder="1" applyAlignment="1">
      <alignment horizontal="justify" vertical="center"/>
    </xf>
    <xf numFmtId="0" fontId="0" fillId="0" borderId="11" xfId="0" applyBorder="1" applyAlignment="1">
      <alignment horizontal="justify" vertical="center"/>
    </xf>
    <xf numFmtId="0" fontId="0" fillId="0" borderId="31" xfId="0" applyBorder="1" applyAlignment="1">
      <alignment horizontal="justify" vertical="center"/>
    </xf>
    <xf numFmtId="0" fontId="0" fillId="0" borderId="0" xfId="0" applyFill="1" applyBorder="1" applyAlignment="1">
      <alignment horizontal="center" vertical="center"/>
    </xf>
    <xf numFmtId="1" fontId="10" fillId="0" borderId="0" xfId="3" applyNumberFormat="1" applyFont="1" applyAlignment="1">
      <alignment horizontal="center" vertical="center"/>
    </xf>
  </cellXfs>
  <cellStyles count="4">
    <cellStyle name="Euro" xfId="1"/>
    <cellStyle name="Normal" xfId="0" builtinId="0"/>
    <cellStyle name="Normal_anexo 3.1" xfId="2"/>
    <cellStyle name="Normal_DESARENA"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180976</xdr:colOff>
      <xdr:row>1</xdr:row>
      <xdr:rowOff>36510</xdr:rowOff>
    </xdr:from>
    <xdr:to>
      <xdr:col>0</xdr:col>
      <xdr:colOff>1466850</xdr:colOff>
      <xdr:row>7</xdr:row>
      <xdr:rowOff>46792</xdr:rowOff>
    </xdr:to>
    <xdr:pic>
      <xdr:nvPicPr>
        <xdr:cNvPr id="2" name="Imagen 1" descr="Fondo Adaptació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80976" y="284160"/>
          <a:ext cx="1285874" cy="1010407"/>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xdr:from>
      <xdr:col>6</xdr:col>
      <xdr:colOff>142876</xdr:colOff>
      <xdr:row>3</xdr:row>
      <xdr:rowOff>71436</xdr:rowOff>
    </xdr:from>
    <xdr:to>
      <xdr:col>6</xdr:col>
      <xdr:colOff>1315316</xdr:colOff>
      <xdr:row>6</xdr:row>
      <xdr:rowOff>133350</xdr:rowOff>
    </xdr:to>
    <xdr:pic>
      <xdr:nvPicPr>
        <xdr:cNvPr id="3" name="Imagen 2" descr="Copia de logo 10-anos"/>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5648326" y="719136"/>
          <a:ext cx="1172440" cy="547689"/>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257175</xdr:colOff>
      <xdr:row>1</xdr:row>
      <xdr:rowOff>428625</xdr:rowOff>
    </xdr:to>
    <xdr:pic>
      <xdr:nvPicPr>
        <xdr:cNvPr id="542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050"/>
          <a:ext cx="1019175" cy="676275"/>
        </a:xfrm>
        <a:prstGeom prst="rect">
          <a:avLst/>
        </a:prstGeom>
        <a:noFill/>
      </xdr:spPr>
    </xdr:pic>
    <xdr:clientData/>
  </xdr:twoCellAnchor>
  <xdr:twoCellAnchor editAs="absolute">
    <xdr:from>
      <xdr:col>3</xdr:col>
      <xdr:colOff>0</xdr:colOff>
      <xdr:row>0</xdr:row>
      <xdr:rowOff>152400</xdr:rowOff>
    </xdr:from>
    <xdr:to>
      <xdr:col>6</xdr:col>
      <xdr:colOff>847725</xdr:colOff>
      <xdr:row>1</xdr:row>
      <xdr:rowOff>342900</xdr:rowOff>
    </xdr:to>
    <xdr:sp macro="" textlink="">
      <xdr:nvSpPr>
        <xdr:cNvPr id="54280" name="Text Box 8"/>
        <xdr:cNvSpPr txBox="1">
          <a:spLocks noChangeArrowheads="1"/>
        </xdr:cNvSpPr>
      </xdr:nvSpPr>
      <xdr:spPr bwMode="auto">
        <a:xfrm>
          <a:off x="2381250" y="152400"/>
          <a:ext cx="3009900" cy="457200"/>
        </a:xfrm>
        <a:prstGeom prst="rect">
          <a:avLst/>
        </a:prstGeom>
        <a:noFill/>
        <a:ln w="9525">
          <a:noFill/>
          <a:miter lim="800000"/>
          <a:headEnd/>
          <a:tailEnd/>
        </a:ln>
      </xdr:spPr>
      <xdr:txBody>
        <a:bodyPr vertOverflow="clip" wrap="square" lIns="27432" tIns="22860" rIns="27432" bIns="0" anchor="t" upright="1"/>
        <a:lstStyle/>
        <a:p>
          <a:pPr algn="ctr" rtl="0">
            <a:defRPr sz="1000"/>
          </a:pPr>
          <a:r>
            <a:rPr lang="es-ES" sz="900" b="1" i="0" strike="noStrike">
              <a:solidFill>
                <a:srgbClr val="000000"/>
              </a:solidFill>
              <a:latin typeface="Times New Roman"/>
              <a:cs typeface="Times New Roman"/>
            </a:rPr>
            <a:t>Informe de Diagnóstico de los Planes Maestros de</a:t>
          </a:r>
        </a:p>
        <a:p>
          <a:pPr algn="ctr" rtl="0">
            <a:defRPr sz="1000"/>
          </a:pPr>
          <a:r>
            <a:rPr lang="es-ES" sz="900" b="1" i="0" strike="noStrike">
              <a:solidFill>
                <a:srgbClr val="000000"/>
              </a:solidFill>
              <a:latin typeface="Times New Roman"/>
              <a:cs typeface="Times New Roman"/>
            </a:rPr>
            <a:t> Acueducto y Alcantarillado del Área Urbana y</a:t>
          </a:r>
        </a:p>
        <a:p>
          <a:pPr algn="ctr" rtl="0">
            <a:defRPr sz="1000"/>
          </a:pPr>
          <a:r>
            <a:rPr lang="es-ES" sz="900" b="1" i="0" strike="noStrike">
              <a:solidFill>
                <a:srgbClr val="000000"/>
              </a:solidFill>
              <a:latin typeface="Times New Roman"/>
              <a:cs typeface="Times New Roman"/>
            </a:rPr>
            <a:t> Centro Poblado de Puerto Venus - Municipio de Nariño</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180976</xdr:colOff>
      <xdr:row>1</xdr:row>
      <xdr:rowOff>36510</xdr:rowOff>
    </xdr:from>
    <xdr:to>
      <xdr:col>0</xdr:col>
      <xdr:colOff>1466850</xdr:colOff>
      <xdr:row>7</xdr:row>
      <xdr:rowOff>46792</xdr:rowOff>
    </xdr:to>
    <xdr:pic>
      <xdr:nvPicPr>
        <xdr:cNvPr id="2" name="Imagen 1" descr="Fondo Adaptació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80976" y="360360"/>
          <a:ext cx="1266824" cy="1105657"/>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xdr:from>
      <xdr:col>6</xdr:col>
      <xdr:colOff>66676</xdr:colOff>
      <xdr:row>3</xdr:row>
      <xdr:rowOff>147636</xdr:rowOff>
    </xdr:from>
    <xdr:to>
      <xdr:col>6</xdr:col>
      <xdr:colOff>1276350</xdr:colOff>
      <xdr:row>6</xdr:row>
      <xdr:rowOff>114300</xdr:rowOff>
    </xdr:to>
    <xdr:pic>
      <xdr:nvPicPr>
        <xdr:cNvPr id="3" name="Imagen 2" descr="Copia de logo 10-anos"/>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5524501" y="795336"/>
          <a:ext cx="1209674" cy="614364"/>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180976</xdr:colOff>
      <xdr:row>1</xdr:row>
      <xdr:rowOff>36510</xdr:rowOff>
    </xdr:from>
    <xdr:to>
      <xdr:col>0</xdr:col>
      <xdr:colOff>1466850</xdr:colOff>
      <xdr:row>7</xdr:row>
      <xdr:rowOff>46792</xdr:rowOff>
    </xdr:to>
    <xdr:pic>
      <xdr:nvPicPr>
        <xdr:cNvPr id="4" name="Imagen 1" descr="Fondo Adaptació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80976" y="284160"/>
          <a:ext cx="1285874" cy="1010407"/>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xdr:from>
      <xdr:col>6</xdr:col>
      <xdr:colOff>41273</xdr:colOff>
      <xdr:row>3</xdr:row>
      <xdr:rowOff>71436</xdr:rowOff>
    </xdr:from>
    <xdr:to>
      <xdr:col>6</xdr:col>
      <xdr:colOff>1134340</xdr:colOff>
      <xdr:row>5</xdr:row>
      <xdr:rowOff>259773</xdr:rowOff>
    </xdr:to>
    <xdr:pic>
      <xdr:nvPicPr>
        <xdr:cNvPr id="5" name="Imagen 2" descr="Copia de logo 10-anos"/>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5955432" y="556345"/>
          <a:ext cx="1093067" cy="430792"/>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180976</xdr:colOff>
      <xdr:row>2</xdr:row>
      <xdr:rowOff>36510</xdr:rowOff>
    </xdr:from>
    <xdr:to>
      <xdr:col>0</xdr:col>
      <xdr:colOff>1466850</xdr:colOff>
      <xdr:row>8</xdr:row>
      <xdr:rowOff>46792</xdr:rowOff>
    </xdr:to>
    <xdr:pic>
      <xdr:nvPicPr>
        <xdr:cNvPr id="2" name="Imagen 1" descr="Fondo Adaptació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80976" y="198435"/>
          <a:ext cx="1285874" cy="981832"/>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xdr:from>
      <xdr:col>6</xdr:col>
      <xdr:colOff>60323</xdr:colOff>
      <xdr:row>4</xdr:row>
      <xdr:rowOff>9526</xdr:rowOff>
    </xdr:from>
    <xdr:to>
      <xdr:col>7</xdr:col>
      <xdr:colOff>352425</xdr:colOff>
      <xdr:row>7</xdr:row>
      <xdr:rowOff>78799</xdr:rowOff>
    </xdr:to>
    <xdr:pic>
      <xdr:nvPicPr>
        <xdr:cNvPr id="3" name="Imagen 2" descr="Copia de logo 10-anos"/>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5861048" y="495301"/>
          <a:ext cx="1092202" cy="55504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180976</xdr:colOff>
      <xdr:row>1</xdr:row>
      <xdr:rowOff>36510</xdr:rowOff>
    </xdr:from>
    <xdr:to>
      <xdr:col>0</xdr:col>
      <xdr:colOff>1466850</xdr:colOff>
      <xdr:row>7</xdr:row>
      <xdr:rowOff>46792</xdr:rowOff>
    </xdr:to>
    <xdr:pic>
      <xdr:nvPicPr>
        <xdr:cNvPr id="2" name="Imagen 1" descr="Fondo Adaptació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80976" y="198435"/>
          <a:ext cx="1209674" cy="981832"/>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xdr:from>
      <xdr:col>6</xdr:col>
      <xdr:colOff>60323</xdr:colOff>
      <xdr:row>3</xdr:row>
      <xdr:rowOff>9526</xdr:rowOff>
    </xdr:from>
    <xdr:to>
      <xdr:col>7</xdr:col>
      <xdr:colOff>352425</xdr:colOff>
      <xdr:row>6</xdr:row>
      <xdr:rowOff>78799</xdr:rowOff>
    </xdr:to>
    <xdr:pic>
      <xdr:nvPicPr>
        <xdr:cNvPr id="3" name="Imagen 2" descr="Copia de logo 10-anos"/>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5727698" y="495301"/>
          <a:ext cx="1092202" cy="55504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00B050"/>
  </sheetPr>
  <dimension ref="A1:M127"/>
  <sheetViews>
    <sheetView tabSelected="1" view="pageBreakPreview" zoomScaleSheetLayoutView="100" workbookViewId="0">
      <selection activeCell="A11" sqref="A11:G11"/>
    </sheetView>
  </sheetViews>
  <sheetFormatPr baseColWidth="10" defaultRowHeight="12.75"/>
  <cols>
    <col min="1" max="1" width="21.7109375" style="75" customWidth="1"/>
    <col min="2" max="2" width="12.140625" style="75" customWidth="1"/>
    <col min="3" max="3" width="16.28515625" style="75" customWidth="1"/>
    <col min="4" max="4" width="11.7109375" style="75" customWidth="1"/>
    <col min="5" max="5" width="9.28515625" style="75" customWidth="1"/>
    <col min="6" max="6" width="11.42578125" style="75"/>
    <col min="7" max="7" width="22.85546875" style="75" customWidth="1"/>
    <col min="8" max="9" width="11.42578125" style="75"/>
    <col min="10" max="13" width="17.7109375" style="75" customWidth="1"/>
    <col min="14" max="16384" width="11.42578125" style="75"/>
  </cols>
  <sheetData>
    <row r="1" spans="1:8" s="180" customFormat="1">
      <c r="A1" s="181"/>
      <c r="B1" s="181"/>
      <c r="C1" s="181"/>
      <c r="D1" s="181"/>
      <c r="E1" s="181"/>
      <c r="F1" s="181"/>
      <c r="G1" s="181"/>
    </row>
    <row r="2" spans="1:8" s="180" customFormat="1">
      <c r="A2" s="200"/>
      <c r="B2" s="200" t="s">
        <v>320</v>
      </c>
      <c r="C2" s="200"/>
      <c r="D2" s="200"/>
      <c r="E2" s="200"/>
      <c r="F2" s="200"/>
      <c r="G2" s="200"/>
    </row>
    <row r="3" spans="1:8" s="180" customFormat="1">
      <c r="A3" s="200"/>
      <c r="B3" s="201" t="s">
        <v>322</v>
      </c>
      <c r="C3" s="201"/>
      <c r="D3" s="201"/>
      <c r="E3" s="201"/>
      <c r="F3" s="201"/>
      <c r="G3" s="200"/>
    </row>
    <row r="4" spans="1:8" s="180" customFormat="1">
      <c r="A4" s="200"/>
      <c r="B4" s="201"/>
      <c r="C4" s="201"/>
      <c r="D4" s="201"/>
      <c r="E4" s="201"/>
      <c r="F4" s="201"/>
      <c r="G4" s="200"/>
    </row>
    <row r="5" spans="1:8" s="180" customFormat="1">
      <c r="A5" s="200"/>
      <c r="B5" s="201"/>
      <c r="C5" s="201"/>
      <c r="D5" s="201"/>
      <c r="E5" s="201"/>
      <c r="F5" s="201"/>
      <c r="G5" s="200"/>
    </row>
    <row r="6" spans="1:8" s="180" customFormat="1" ht="22.5" customHeight="1">
      <c r="A6" s="200"/>
      <c r="B6" s="201"/>
      <c r="C6" s="201"/>
      <c r="D6" s="201"/>
      <c r="E6" s="201"/>
      <c r="F6" s="201"/>
      <c r="G6" s="200"/>
    </row>
    <row r="7" spans="1:8" s="180" customFormat="1">
      <c r="A7" s="200"/>
      <c r="B7" s="201" t="s">
        <v>323</v>
      </c>
      <c r="C7" s="201"/>
      <c r="D7" s="200" t="s">
        <v>332</v>
      </c>
      <c r="E7" s="200"/>
      <c r="F7" s="200" t="s">
        <v>321</v>
      </c>
      <c r="G7" s="200"/>
    </row>
    <row r="8" spans="1:8" s="180" customFormat="1" ht="24" customHeight="1">
      <c r="A8" s="200"/>
      <c r="B8" s="201"/>
      <c r="C8" s="201"/>
      <c r="D8" s="200"/>
      <c r="E8" s="200"/>
      <c r="F8" s="200"/>
      <c r="G8" s="200"/>
    </row>
    <row r="11" spans="1:8" s="77" customFormat="1" ht="35.1" customHeight="1">
      <c r="A11" s="186" t="s">
        <v>335</v>
      </c>
      <c r="B11" s="186"/>
      <c r="C11" s="186"/>
      <c r="D11" s="186"/>
      <c r="E11" s="186"/>
      <c r="F11" s="186"/>
      <c r="G11" s="186"/>
      <c r="H11" s="76"/>
    </row>
    <row r="12" spans="1:8" s="77" customFormat="1" ht="9.9499999999999993" customHeight="1">
      <c r="A12" s="78"/>
      <c r="B12" s="78"/>
      <c r="C12" s="78"/>
      <c r="D12" s="78"/>
      <c r="E12" s="78"/>
      <c r="F12" s="78"/>
      <c r="G12" s="78"/>
      <c r="H12" s="76"/>
    </row>
    <row r="13" spans="1:8" s="77" customFormat="1" ht="15" customHeight="1">
      <c r="A13" s="194" t="s">
        <v>209</v>
      </c>
      <c r="B13" s="194"/>
      <c r="C13" s="194"/>
      <c r="D13" s="195"/>
      <c r="E13" s="195"/>
      <c r="F13" s="195"/>
      <c r="G13" s="195"/>
    </row>
    <row r="14" spans="1:8" s="77" customFormat="1" ht="9.9499999999999993" customHeight="1">
      <c r="A14" s="80"/>
      <c r="B14" s="80"/>
      <c r="C14" s="80"/>
      <c r="D14" s="79"/>
      <c r="E14" s="79"/>
      <c r="F14" s="79"/>
      <c r="G14" s="79"/>
    </row>
    <row r="15" spans="1:8" s="77" customFormat="1" ht="54.95" customHeight="1">
      <c r="A15" s="187" t="s">
        <v>325</v>
      </c>
      <c r="B15" s="187"/>
      <c r="C15" s="187"/>
      <c r="D15" s="187"/>
      <c r="E15" s="187"/>
      <c r="F15" s="187"/>
      <c r="G15" s="187"/>
    </row>
    <row r="16" spans="1:8" s="77" customFormat="1" ht="79.5" customHeight="1">
      <c r="A16" s="187" t="s">
        <v>326</v>
      </c>
      <c r="B16" s="191"/>
      <c r="C16" s="191"/>
      <c r="D16" s="191"/>
      <c r="E16" s="191"/>
      <c r="F16" s="191"/>
      <c r="G16" s="191"/>
    </row>
    <row r="17" spans="1:10" s="77" customFormat="1" ht="9.9499999999999993" customHeight="1">
      <c r="A17" s="99"/>
      <c r="B17" s="99"/>
      <c r="C17" s="99"/>
      <c r="D17" s="99"/>
      <c r="E17" s="99"/>
      <c r="F17" s="99"/>
      <c r="G17" s="99"/>
    </row>
    <row r="18" spans="1:10" s="77" customFormat="1" ht="15" customHeight="1">
      <c r="A18" s="194" t="s">
        <v>212</v>
      </c>
      <c r="B18" s="194"/>
      <c r="C18" s="194"/>
      <c r="D18" s="195"/>
      <c r="E18" s="195"/>
      <c r="F18" s="195"/>
      <c r="G18" s="195"/>
    </row>
    <row r="19" spans="1:10" s="77" customFormat="1" ht="9" customHeight="1">
      <c r="B19" s="81"/>
      <c r="C19" s="81"/>
      <c r="D19" s="81"/>
      <c r="E19" s="81"/>
      <c r="F19" s="81"/>
      <c r="G19" s="81"/>
    </row>
    <row r="20" spans="1:10" s="77" customFormat="1" ht="15" customHeight="1">
      <c r="A20" s="194" t="s">
        <v>210</v>
      </c>
      <c r="B20" s="194"/>
      <c r="C20" s="194"/>
      <c r="D20" s="195"/>
      <c r="E20" s="195"/>
      <c r="F20" s="195"/>
      <c r="G20" s="195"/>
    </row>
    <row r="21" spans="1:10" s="77" customFormat="1" ht="9" customHeight="1">
      <c r="B21" s="81"/>
      <c r="C21" s="81"/>
      <c r="D21" s="81"/>
      <c r="E21" s="81"/>
      <c r="F21" s="81"/>
      <c r="G21" s="81"/>
    </row>
    <row r="22" spans="1:10" ht="30" customHeight="1">
      <c r="A22" s="187" t="s">
        <v>211</v>
      </c>
      <c r="B22" s="187"/>
      <c r="C22" s="187"/>
      <c r="D22" s="187"/>
      <c r="E22" s="187"/>
      <c r="F22" s="187"/>
      <c r="G22" s="187"/>
    </row>
    <row r="23" spans="1:10" ht="9.9499999999999993" customHeight="1">
      <c r="A23" s="82"/>
      <c r="B23" s="82"/>
      <c r="C23" s="82"/>
      <c r="D23" s="82"/>
      <c r="E23" s="82"/>
      <c r="F23" s="82"/>
      <c r="G23" s="82"/>
    </row>
    <row r="24" spans="1:10" ht="15" customHeight="1">
      <c r="A24" s="188" t="s">
        <v>216</v>
      </c>
      <c r="B24" s="188"/>
      <c r="C24" s="188"/>
      <c r="D24" s="188"/>
      <c r="E24" s="188"/>
      <c r="F24" s="188"/>
      <c r="G24" s="188"/>
    </row>
    <row r="25" spans="1:10" ht="9.9499999999999993" customHeight="1">
      <c r="A25" s="82"/>
      <c r="B25" s="82"/>
      <c r="C25" s="82"/>
      <c r="D25" s="82"/>
      <c r="E25" s="82"/>
      <c r="F25" s="82"/>
      <c r="G25" s="82"/>
    </row>
    <row r="26" spans="1:10" ht="15" customHeight="1">
      <c r="A26" s="75" t="s">
        <v>88</v>
      </c>
      <c r="E26" s="83"/>
      <c r="F26" s="84"/>
      <c r="G26" s="84"/>
    </row>
    <row r="27" spans="1:10" ht="15" customHeight="1">
      <c r="A27" s="75" t="s">
        <v>196</v>
      </c>
      <c r="E27" s="85"/>
      <c r="F27" s="86"/>
      <c r="G27" s="84"/>
    </row>
    <row r="28" spans="1:10" ht="15" customHeight="1">
      <c r="A28" s="75" t="s">
        <v>138</v>
      </c>
      <c r="E28" s="87">
        <v>0.435</v>
      </c>
      <c r="G28" s="84"/>
      <c r="H28" s="86"/>
    </row>
    <row r="29" spans="1:10" ht="15" customHeight="1">
      <c r="A29" s="75" t="s">
        <v>197</v>
      </c>
      <c r="E29" s="88">
        <f>+((E32+1)*E30)/(E31)</f>
        <v>0.4</v>
      </c>
      <c r="J29" s="89"/>
    </row>
    <row r="30" spans="1:10" ht="15" customHeight="1">
      <c r="A30" s="75" t="s">
        <v>198</v>
      </c>
      <c r="E30" s="118">
        <v>1.4999999999999999E-2</v>
      </c>
      <c r="F30" s="75" t="s">
        <v>54</v>
      </c>
      <c r="G30" s="185"/>
      <c r="H30" s="84"/>
    </row>
    <row r="31" spans="1:10" ht="15" customHeight="1">
      <c r="A31" s="75" t="s">
        <v>141</v>
      </c>
      <c r="E31" s="117">
        <v>0.6</v>
      </c>
      <c r="F31" s="75" t="s">
        <v>54</v>
      </c>
      <c r="G31" s="185"/>
      <c r="H31" s="86"/>
    </row>
    <row r="32" spans="1:10" ht="15" customHeight="1">
      <c r="A32" s="75" t="s">
        <v>199</v>
      </c>
      <c r="E32" s="116">
        <v>15</v>
      </c>
      <c r="F32" s="75" t="s">
        <v>87</v>
      </c>
      <c r="G32" s="185">
        <f>+ROUND(E33*E32+(E30*(E32+1)),2)</f>
        <v>0.38</v>
      </c>
      <c r="H32" s="88"/>
    </row>
    <row r="33" spans="1:9" ht="15" customHeight="1">
      <c r="A33" s="172" t="s">
        <v>314</v>
      </c>
      <c r="C33" s="84"/>
      <c r="D33" s="84"/>
      <c r="E33" s="118">
        <f>0.0254*(3/8)</f>
        <v>9.5249999999999987E-3</v>
      </c>
      <c r="F33" s="75" t="s">
        <v>54</v>
      </c>
      <c r="G33" s="185"/>
    </row>
    <row r="34" spans="1:9" ht="15" customHeight="1">
      <c r="A34" s="75" t="s">
        <v>160</v>
      </c>
      <c r="C34" s="84"/>
      <c r="D34" s="84"/>
      <c r="E34" s="117">
        <v>0.3</v>
      </c>
      <c r="F34" s="75" t="s">
        <v>54</v>
      </c>
    </row>
    <row r="35" spans="1:9" ht="15" customHeight="1">
      <c r="A35" s="75" t="s">
        <v>143</v>
      </c>
      <c r="C35" s="84"/>
      <c r="E35" s="75">
        <v>9.81</v>
      </c>
      <c r="F35" s="75" t="s">
        <v>200</v>
      </c>
    </row>
    <row r="36" spans="1:9" ht="15" customHeight="1">
      <c r="A36" s="75" t="s">
        <v>144</v>
      </c>
      <c r="C36" s="84"/>
      <c r="E36" s="75">
        <v>1.56</v>
      </c>
    </row>
    <row r="37" spans="1:9" ht="9.9499999999999993" customHeight="1">
      <c r="C37" s="84"/>
    </row>
    <row r="38" spans="1:9" ht="15" customHeight="1">
      <c r="C38" s="112" t="s">
        <v>201</v>
      </c>
      <c r="D38" s="114">
        <f>ROUND(((((E28*E29*(E34^(2/3))*((2*E35)^(0.5))*E31)/(E36^(1/3)))^(3/2))*1000),1)</f>
        <v>75.5</v>
      </c>
      <c r="E38" s="113" t="s">
        <v>129</v>
      </c>
      <c r="F38" s="93"/>
      <c r="G38" s="93"/>
      <c r="H38" s="93"/>
      <c r="I38" s="93"/>
    </row>
    <row r="39" spans="1:9" ht="9.9499999999999993" customHeight="1">
      <c r="C39" s="84"/>
    </row>
    <row r="40" spans="1:9" ht="30" customHeight="1">
      <c r="A40" s="187" t="str">
        <f>+CONCATENATE("De acuerdo con lo anterior, la rejilla según las consideraciones hidráulicas teóricas usadas para el presente proyecto, tiene una capacidad máxima de captación de ",D38,"L/s.")</f>
        <v>De acuerdo con lo anterior, la rejilla según las consideraciones hidráulicas teóricas usadas para el presente proyecto, tiene una capacidad máxima de captación de 75,5L/s.</v>
      </c>
      <c r="B40" s="187"/>
      <c r="C40" s="187"/>
      <c r="D40" s="187"/>
      <c r="E40" s="187"/>
      <c r="F40" s="187"/>
      <c r="G40" s="187"/>
    </row>
    <row r="41" spans="1:9" ht="9.9499999999999993" customHeight="1">
      <c r="C41" s="84"/>
    </row>
    <row r="42" spans="1:9" s="77" customFormat="1" ht="15" customHeight="1">
      <c r="A42" s="194" t="s">
        <v>315</v>
      </c>
      <c r="B42" s="194"/>
      <c r="C42" s="194"/>
      <c r="D42" s="195"/>
      <c r="E42" s="195"/>
      <c r="F42" s="195"/>
      <c r="G42" s="195"/>
    </row>
    <row r="43" spans="1:9" s="77" customFormat="1" ht="9" customHeight="1">
      <c r="B43" s="81"/>
      <c r="C43" s="81"/>
      <c r="D43" s="81"/>
      <c r="E43" s="81"/>
      <c r="F43" s="81"/>
      <c r="G43" s="81"/>
    </row>
    <row r="44" spans="1:9" s="77" customFormat="1" ht="45" customHeight="1">
      <c r="A44" s="187" t="s">
        <v>116</v>
      </c>
      <c r="B44" s="187"/>
      <c r="C44" s="187"/>
      <c r="D44" s="187"/>
      <c r="E44" s="187"/>
      <c r="F44" s="187"/>
      <c r="G44" s="187"/>
    </row>
    <row r="45" spans="1:9" s="77" customFormat="1" ht="9.9499999999999993" customHeight="1">
      <c r="A45" s="86"/>
      <c r="B45" s="81"/>
      <c r="C45" s="81"/>
      <c r="D45" s="81"/>
      <c r="E45" s="81"/>
      <c r="F45" s="81"/>
      <c r="G45" s="81"/>
    </row>
    <row r="46" spans="1:9" s="77" customFormat="1" ht="15" customHeight="1">
      <c r="A46" s="188" t="s">
        <v>214</v>
      </c>
      <c r="B46" s="188"/>
      <c r="C46" s="188"/>
      <c r="D46" s="188"/>
      <c r="E46" s="188"/>
      <c r="F46" s="188"/>
      <c r="G46" s="188"/>
    </row>
    <row r="47" spans="1:9" s="77" customFormat="1" ht="9.9499999999999993" customHeight="1">
      <c r="A47" s="187"/>
      <c r="B47" s="187"/>
      <c r="C47" s="187"/>
      <c r="D47" s="187"/>
      <c r="E47" s="187"/>
      <c r="F47" s="187"/>
      <c r="G47" s="187"/>
    </row>
    <row r="48" spans="1:9" s="77" customFormat="1" ht="15" customHeight="1">
      <c r="A48" s="75" t="s">
        <v>88</v>
      </c>
      <c r="B48" s="81"/>
      <c r="C48" s="81"/>
      <c r="D48" s="81"/>
      <c r="E48" s="81"/>
      <c r="F48" s="81"/>
      <c r="G48" s="81"/>
    </row>
    <row r="49" spans="1:7" s="77" customFormat="1" ht="15" customHeight="1">
      <c r="A49" s="75" t="s">
        <v>202</v>
      </c>
      <c r="B49" s="81"/>
      <c r="C49" s="81"/>
      <c r="D49" s="95">
        <f>+D38/1000</f>
        <v>7.5499999999999998E-2</v>
      </c>
      <c r="E49" s="86" t="s">
        <v>217</v>
      </c>
      <c r="F49" s="86"/>
      <c r="G49" s="86"/>
    </row>
    <row r="50" spans="1:7" s="77" customFormat="1" ht="15" customHeight="1">
      <c r="A50" s="75" t="s">
        <v>57</v>
      </c>
      <c r="B50" s="81"/>
      <c r="C50" s="81"/>
      <c r="D50" s="96">
        <v>0.6</v>
      </c>
      <c r="E50" s="86" t="s">
        <v>54</v>
      </c>
      <c r="F50" s="86"/>
      <c r="G50" s="86"/>
    </row>
    <row r="51" spans="1:7" s="77" customFormat="1" ht="15" customHeight="1">
      <c r="A51" s="75" t="s">
        <v>204</v>
      </c>
      <c r="B51" s="81"/>
      <c r="C51" s="81"/>
      <c r="D51" s="97">
        <f>+(D49/(1.84*D50))^(2/3)</f>
        <v>0.16723169263276338</v>
      </c>
      <c r="E51" s="94" t="s">
        <v>54</v>
      </c>
      <c r="F51" s="86"/>
      <c r="G51" s="86"/>
    </row>
    <row r="52" spans="1:7" s="77" customFormat="1" ht="9.9499999999999993" customHeight="1">
      <c r="A52" s="75"/>
      <c r="B52" s="81"/>
      <c r="C52" s="81"/>
      <c r="D52" s="97"/>
      <c r="E52" s="94"/>
      <c r="F52" s="86"/>
      <c r="G52" s="86"/>
    </row>
    <row r="53" spans="1:7" s="77" customFormat="1" ht="45" customHeight="1">
      <c r="A53" s="191" t="str">
        <f>+CONCATENATE("Lo anterior indica que para que por el vertedero central circule el caudal máximo de captación teórico tanto de la rejilla como del vertedero existente, es necesario contar con una lamina de agua sobre dicho vertedero igual a ",ROUND((D51),2),"m.")</f>
        <v>Lo anterior indica que para que por el vertedero central circule el caudal máximo de captación teórico tanto de la rejilla como del vertedero existente, es necesario contar con una lamina de agua sobre dicho vertedero igual a 0,17m.</v>
      </c>
      <c r="B53" s="191"/>
      <c r="C53" s="191"/>
      <c r="D53" s="191"/>
      <c r="E53" s="191"/>
      <c r="F53" s="191"/>
      <c r="G53" s="191"/>
    </row>
    <row r="54" spans="1:7" s="77" customFormat="1" ht="9.9499999999999993" customHeight="1">
      <c r="A54" s="99"/>
      <c r="B54" s="99"/>
      <c r="C54" s="99"/>
      <c r="D54" s="99"/>
      <c r="E54" s="99"/>
      <c r="F54" s="99"/>
      <c r="G54" s="99"/>
    </row>
    <row r="55" spans="1:7" s="77" customFormat="1" ht="54.95" customHeight="1">
      <c r="A55" s="191" t="s">
        <v>316</v>
      </c>
      <c r="B55" s="191"/>
      <c r="C55" s="191"/>
      <c r="D55" s="191"/>
      <c r="E55" s="191"/>
      <c r="F55" s="191"/>
      <c r="G55" s="191"/>
    </row>
    <row r="56" spans="1:7" s="77" customFormat="1" ht="9.9499999999999993" customHeight="1">
      <c r="A56" s="99"/>
      <c r="B56" s="99"/>
      <c r="C56" s="99"/>
      <c r="D56" s="99"/>
      <c r="E56" s="99"/>
      <c r="F56" s="99"/>
      <c r="G56" s="99"/>
    </row>
    <row r="57" spans="1:7" s="77" customFormat="1" ht="15" customHeight="1">
      <c r="A57" s="188" t="s">
        <v>215</v>
      </c>
      <c r="B57" s="188"/>
      <c r="C57" s="188"/>
      <c r="D57" s="188"/>
      <c r="E57" s="188"/>
      <c r="F57" s="188"/>
      <c r="G57" s="188"/>
    </row>
    <row r="58" spans="1:7" s="77" customFormat="1" ht="9.9499999999999993" customHeight="1">
      <c r="A58" s="81"/>
      <c r="B58" s="81"/>
      <c r="C58" s="81"/>
      <c r="D58" s="81"/>
      <c r="E58" s="81"/>
      <c r="F58" s="81"/>
      <c r="G58" s="81"/>
    </row>
    <row r="59" spans="1:7" s="77" customFormat="1" ht="15" customHeight="1">
      <c r="A59" s="75" t="s">
        <v>88</v>
      </c>
      <c r="B59" s="81"/>
      <c r="C59" s="81"/>
      <c r="D59" s="81"/>
      <c r="E59" s="81"/>
      <c r="F59" s="81"/>
      <c r="G59" s="81"/>
    </row>
    <row r="60" spans="1:7" s="77" customFormat="1" ht="15" customHeight="1">
      <c r="A60" s="192" t="s">
        <v>165</v>
      </c>
      <c r="B60" s="192"/>
      <c r="C60" s="192"/>
      <c r="D60" s="120">
        <v>0.18</v>
      </c>
      <c r="E60" s="86" t="s">
        <v>54</v>
      </c>
      <c r="F60" s="86"/>
      <c r="G60" s="86"/>
    </row>
    <row r="61" spans="1:7" s="77" customFormat="1" ht="15" customHeight="1">
      <c r="A61" s="192" t="s">
        <v>164</v>
      </c>
      <c r="B61" s="192"/>
      <c r="C61" s="192"/>
      <c r="D61" s="96">
        <f>+D50</f>
        <v>0.6</v>
      </c>
      <c r="E61" s="86" t="s">
        <v>54</v>
      </c>
      <c r="F61" s="86"/>
      <c r="G61" s="86"/>
    </row>
    <row r="62" spans="1:7" ht="15" customHeight="1">
      <c r="A62" s="192" t="s">
        <v>227</v>
      </c>
      <c r="B62" s="192"/>
      <c r="C62" s="192"/>
      <c r="D62" s="95">
        <f>(1.834*D61*(D60^(3/2)))</f>
        <v>8.4034832617909103E-2</v>
      </c>
      <c r="E62" s="86" t="s">
        <v>203</v>
      </c>
      <c r="F62" s="86"/>
      <c r="G62" s="86"/>
    </row>
    <row r="63" spans="1:7" s="77" customFormat="1" ht="15" customHeight="1">
      <c r="A63" s="192" t="s">
        <v>205</v>
      </c>
      <c r="B63" s="192"/>
      <c r="C63" s="192"/>
      <c r="D63" s="119">
        <f>ROUND((D62*1000),1)</f>
        <v>84</v>
      </c>
      <c r="E63" s="94" t="s">
        <v>129</v>
      </c>
      <c r="F63" s="86"/>
      <c r="G63" s="86"/>
    </row>
    <row r="64" spans="1:7" s="77" customFormat="1" ht="9.9499999999999993" customHeight="1">
      <c r="A64" s="75"/>
      <c r="B64" s="75"/>
      <c r="C64" s="75"/>
      <c r="D64" s="119"/>
      <c r="E64" s="94"/>
      <c r="F64" s="86"/>
      <c r="G64" s="86"/>
    </row>
    <row r="65" spans="1:7" ht="30" customHeight="1">
      <c r="A65" s="187" t="str">
        <f>+CONCATENATE("De acuerdo con lo anterior, el vertedero central existente según las consideraciones hidráulicas teóricas usadas para el presente proyecto, tiene una capacidad máxima de captación de ",D63,"L/s.")</f>
        <v>De acuerdo con lo anterior, el vertedero central existente según las consideraciones hidráulicas teóricas usadas para el presente proyecto, tiene una capacidad máxima de captación de 84L/s.</v>
      </c>
      <c r="B65" s="187"/>
      <c r="C65" s="187"/>
      <c r="D65" s="187"/>
      <c r="E65" s="187"/>
      <c r="F65" s="187"/>
      <c r="G65" s="187"/>
    </row>
    <row r="66" spans="1:7" ht="9.9499999999999993" customHeight="1">
      <c r="C66" s="84"/>
    </row>
    <row r="67" spans="1:7" s="77" customFormat="1" ht="15" customHeight="1">
      <c r="A67" s="194" t="s">
        <v>313</v>
      </c>
      <c r="B67" s="194"/>
      <c r="C67" s="194"/>
      <c r="D67" s="195"/>
      <c r="E67" s="195"/>
      <c r="F67" s="195"/>
      <c r="G67" s="195"/>
    </row>
    <row r="68" spans="1:7" s="77" customFormat="1" ht="9" customHeight="1">
      <c r="B68" s="81"/>
      <c r="C68" s="81"/>
      <c r="D68" s="81"/>
      <c r="E68" s="81"/>
      <c r="F68" s="81"/>
      <c r="G68" s="81"/>
    </row>
    <row r="69" spans="1:7" s="77" customFormat="1" ht="30" customHeight="1">
      <c r="A69" s="187" t="s">
        <v>329</v>
      </c>
      <c r="B69" s="187"/>
      <c r="C69" s="187"/>
      <c r="D69" s="187"/>
      <c r="E69" s="187"/>
      <c r="F69" s="187"/>
      <c r="G69" s="187"/>
    </row>
    <row r="70" spans="1:7" s="77" customFormat="1" ht="15" customHeight="1">
      <c r="A70" s="173"/>
      <c r="B70" s="173"/>
      <c r="C70" s="173"/>
      <c r="D70" s="173"/>
      <c r="E70" s="173"/>
      <c r="F70" s="173"/>
      <c r="G70" s="173"/>
    </row>
    <row r="71" spans="1:7" s="77" customFormat="1" ht="15.75" customHeight="1">
      <c r="A71" s="188" t="s">
        <v>215</v>
      </c>
      <c r="B71" s="188"/>
      <c r="C71" s="188"/>
      <c r="D71" s="188"/>
      <c r="E71" s="188"/>
      <c r="F71" s="188"/>
      <c r="G71" s="188"/>
    </row>
    <row r="72" spans="1:7" s="77" customFormat="1" ht="15.75" customHeight="1">
      <c r="A72" s="81"/>
      <c r="B72" s="81"/>
      <c r="C72" s="81"/>
      <c r="D72" s="81"/>
      <c r="E72" s="81"/>
      <c r="F72" s="81"/>
      <c r="G72" s="81"/>
    </row>
    <row r="73" spans="1:7" s="77" customFormat="1" ht="18" customHeight="1">
      <c r="A73" s="90" t="s">
        <v>88</v>
      </c>
      <c r="B73" s="100"/>
      <c r="C73" s="100"/>
      <c r="D73" s="100"/>
      <c r="E73" s="100"/>
      <c r="F73" s="81"/>
      <c r="G73" s="81"/>
    </row>
    <row r="74" spans="1:7" ht="15.75" customHeight="1">
      <c r="A74" s="199" t="s">
        <v>165</v>
      </c>
      <c r="B74" s="199"/>
      <c r="C74" s="199"/>
      <c r="D74" s="163">
        <v>0.08</v>
      </c>
      <c r="E74" s="106" t="s">
        <v>54</v>
      </c>
      <c r="F74" s="86"/>
      <c r="G74" s="86"/>
    </row>
    <row r="75" spans="1:7" s="77" customFormat="1" ht="15" customHeight="1">
      <c r="A75" s="199" t="s">
        <v>164</v>
      </c>
      <c r="B75" s="199"/>
      <c r="C75" s="199"/>
      <c r="D75" s="182">
        <f>1.8</f>
        <v>1.8</v>
      </c>
      <c r="E75" s="106" t="s">
        <v>54</v>
      </c>
      <c r="F75" s="86"/>
      <c r="G75" s="86"/>
    </row>
    <row r="76" spans="1:7" s="77" customFormat="1" ht="16.5" customHeight="1">
      <c r="A76" s="199" t="s">
        <v>227</v>
      </c>
      <c r="B76" s="199"/>
      <c r="C76" s="199"/>
      <c r="D76" s="161">
        <f>(1.834*D75*(D74^(3/2)))</f>
        <v>7.469762899369696E-2</v>
      </c>
      <c r="E76" s="106" t="s">
        <v>203</v>
      </c>
      <c r="F76" s="86"/>
      <c r="G76" s="86"/>
    </row>
    <row r="77" spans="1:7" s="90" customFormat="1" ht="18" customHeight="1">
      <c r="A77" s="199" t="s">
        <v>205</v>
      </c>
      <c r="B77" s="199"/>
      <c r="C77" s="199"/>
      <c r="D77" s="183">
        <f>ROUND((D76*1000),1)</f>
        <v>74.7</v>
      </c>
      <c r="E77" s="184" t="s">
        <v>129</v>
      </c>
      <c r="F77" s="86"/>
      <c r="G77" s="86"/>
    </row>
    <row r="78" spans="1:7" s="90" customFormat="1" ht="17.25" customHeight="1">
      <c r="A78" s="173"/>
      <c r="B78" s="173"/>
      <c r="C78" s="173"/>
      <c r="D78" s="173"/>
      <c r="E78" s="173"/>
      <c r="F78" s="173"/>
      <c r="G78" s="173"/>
    </row>
    <row r="79" spans="1:7" s="90" customFormat="1" ht="15" customHeight="1">
      <c r="A79" s="174"/>
      <c r="B79" s="174"/>
      <c r="C79" s="84"/>
      <c r="D79" s="174"/>
      <c r="E79" s="174"/>
      <c r="F79" s="174"/>
      <c r="G79" s="174"/>
    </row>
    <row r="80" spans="1:7" s="90" customFormat="1" ht="15" hidden="1" customHeight="1">
      <c r="A80" s="194" t="s">
        <v>218</v>
      </c>
      <c r="B80" s="194"/>
      <c r="C80" s="194"/>
      <c r="D80" s="194"/>
      <c r="E80" s="194"/>
      <c r="F80" s="194"/>
      <c r="G80" s="194"/>
    </row>
    <row r="81" spans="1:13" s="90" customFormat="1" ht="15" hidden="1" customHeight="1">
      <c r="A81" s="77"/>
      <c r="B81" s="175"/>
      <c r="C81" s="175"/>
      <c r="D81" s="175"/>
      <c r="E81" s="175"/>
      <c r="F81" s="175"/>
      <c r="G81" s="175"/>
    </row>
    <row r="82" spans="1:13" s="90" customFormat="1" ht="55.5" hidden="1" customHeight="1">
      <c r="A82" s="193" t="s">
        <v>317</v>
      </c>
      <c r="B82" s="193"/>
      <c r="C82" s="193"/>
      <c r="D82" s="193"/>
      <c r="E82" s="193"/>
      <c r="F82" s="193"/>
      <c r="G82" s="193"/>
    </row>
    <row r="83" spans="1:13" s="90" customFormat="1" ht="15" hidden="1" customHeight="1">
      <c r="G83" s="102"/>
    </row>
    <row r="84" spans="1:13" s="90" customFormat="1" ht="15" hidden="1" customHeight="1">
      <c r="A84" s="190" t="s">
        <v>228</v>
      </c>
      <c r="B84" s="196"/>
      <c r="C84" s="196"/>
      <c r="D84" s="196"/>
      <c r="E84" s="196"/>
      <c r="F84" s="196"/>
      <c r="G84" s="196"/>
      <c r="J84" s="121"/>
      <c r="K84" s="121"/>
      <c r="L84" s="121"/>
      <c r="M84" s="121"/>
    </row>
    <row r="85" spans="1:13" s="90" customFormat="1" ht="15" hidden="1" customHeight="1">
      <c r="A85" s="100"/>
      <c r="B85" s="103"/>
      <c r="C85" s="103"/>
      <c r="D85" s="103"/>
      <c r="E85" s="103"/>
      <c r="F85" s="103"/>
      <c r="G85" s="104"/>
      <c r="J85" s="121"/>
      <c r="K85" s="121"/>
      <c r="L85" s="122"/>
      <c r="M85" s="123"/>
    </row>
    <row r="86" spans="1:13" s="90" customFormat="1" ht="15" hidden="1" customHeight="1">
      <c r="A86" s="90" t="s">
        <v>88</v>
      </c>
      <c r="B86" s="92"/>
      <c r="C86" s="105"/>
      <c r="J86" s="121"/>
      <c r="K86" s="121"/>
      <c r="L86" s="122"/>
      <c r="M86" s="123"/>
    </row>
    <row r="87" spans="1:13" s="90" customFormat="1" ht="15" hidden="1" customHeight="1">
      <c r="A87" s="90" t="s">
        <v>225</v>
      </c>
      <c r="C87" s="87"/>
      <c r="J87" s="121"/>
      <c r="K87" s="121"/>
      <c r="L87" s="122"/>
      <c r="M87" s="123"/>
    </row>
    <row r="88" spans="1:13" s="90" customFormat="1" ht="15" hidden="1" customHeight="1">
      <c r="A88" s="90" t="s">
        <v>145</v>
      </c>
      <c r="C88" s="87"/>
      <c r="D88" s="87" t="s">
        <v>146</v>
      </c>
      <c r="E88" s="90">
        <v>1.0999999999999999E-2</v>
      </c>
      <c r="F88" s="90" t="s">
        <v>166</v>
      </c>
      <c r="J88" s="121"/>
      <c r="K88" s="121"/>
      <c r="L88" s="122"/>
      <c r="M88" s="123"/>
    </row>
    <row r="89" spans="1:13" s="90" customFormat="1" ht="15" hidden="1" customHeight="1">
      <c r="A89" s="90" t="s">
        <v>170</v>
      </c>
      <c r="C89" s="87"/>
      <c r="D89" s="87" t="s">
        <v>99</v>
      </c>
      <c r="E89" s="115">
        <v>4</v>
      </c>
      <c r="F89" s="90" t="s">
        <v>115</v>
      </c>
    </row>
    <row r="90" spans="1:13" s="90" customFormat="1" ht="9.9499999999999993" hidden="1" customHeight="1">
      <c r="A90" s="90" t="s">
        <v>170</v>
      </c>
      <c r="C90" s="87"/>
      <c r="D90" s="87" t="s">
        <v>99</v>
      </c>
      <c r="E90" s="92">
        <f>E89*0.0254</f>
        <v>0.1016</v>
      </c>
      <c r="F90" s="90" t="s">
        <v>54</v>
      </c>
    </row>
    <row r="91" spans="1:13" s="90" customFormat="1" ht="15" hidden="1" customHeight="1">
      <c r="A91" s="90" t="s">
        <v>169</v>
      </c>
      <c r="C91" s="87"/>
      <c r="D91" s="87" t="s">
        <v>63</v>
      </c>
      <c r="E91" s="91">
        <f>(PI()*E90^2)/4</f>
        <v>8.107319665559963E-3</v>
      </c>
      <c r="F91" s="90" t="s">
        <v>206</v>
      </c>
    </row>
    <row r="92" spans="1:13" s="77" customFormat="1" ht="16.5" hidden="1" customHeight="1">
      <c r="A92" s="106" t="s">
        <v>207</v>
      </c>
      <c r="B92" s="90"/>
      <c r="C92" s="87"/>
      <c r="D92" s="87" t="s">
        <v>208</v>
      </c>
      <c r="E92" s="91">
        <f>E90/4</f>
        <v>2.5399999999999999E-2</v>
      </c>
      <c r="F92" s="90" t="s">
        <v>54</v>
      </c>
      <c r="G92" s="90"/>
    </row>
    <row r="93" spans="1:13" ht="18.75" hidden="1" customHeight="1">
      <c r="A93" s="106" t="s">
        <v>220</v>
      </c>
      <c r="B93" s="90"/>
      <c r="C93" s="87"/>
      <c r="D93" s="87" t="s">
        <v>219</v>
      </c>
      <c r="E93" s="117">
        <f>0.22+0.42</f>
        <v>0.64</v>
      </c>
      <c r="F93" s="90" t="s">
        <v>54</v>
      </c>
      <c r="G93" s="90"/>
    </row>
    <row r="94" spans="1:13" ht="9.9499999999999993" hidden="1" customHeight="1">
      <c r="A94" s="106" t="s">
        <v>221</v>
      </c>
      <c r="B94" s="90"/>
      <c r="C94" s="87"/>
      <c r="D94" s="87" t="s">
        <v>222</v>
      </c>
      <c r="E94" s="117">
        <f>0.74-0.05</f>
        <v>0.69</v>
      </c>
      <c r="F94" s="90" t="s">
        <v>54</v>
      </c>
      <c r="G94" s="90"/>
    </row>
    <row r="95" spans="1:13" s="101" customFormat="1" ht="15" hidden="1" customHeight="1">
      <c r="A95" s="106" t="s">
        <v>223</v>
      </c>
      <c r="B95" s="90"/>
      <c r="C95" s="87"/>
      <c r="D95" s="87" t="s">
        <v>224</v>
      </c>
      <c r="E95" s="117">
        <f>3.65+0.2+0.05</f>
        <v>3.9</v>
      </c>
      <c r="F95" s="90" t="s">
        <v>54</v>
      </c>
      <c r="G95" s="90"/>
    </row>
    <row r="96" spans="1:13" s="77" customFormat="1" ht="9.9499999999999993" hidden="1" customHeight="1">
      <c r="A96" s="90" t="s">
        <v>147</v>
      </c>
      <c r="B96" s="91"/>
      <c r="C96" s="90"/>
      <c r="D96" s="87" t="s">
        <v>148</v>
      </c>
      <c r="E96" s="91">
        <f>+(E94-E93)/E95</f>
        <v>1.2820512820512804E-2</v>
      </c>
      <c r="F96" s="90" t="s">
        <v>149</v>
      </c>
      <c r="G96" s="90"/>
    </row>
    <row r="97" spans="1:7" s="101" customFormat="1" ht="54.95" hidden="1" customHeight="1">
      <c r="A97" s="90"/>
      <c r="B97" s="91"/>
      <c r="C97" s="90"/>
      <c r="D97" s="87"/>
      <c r="E97" s="90"/>
      <c r="F97" s="90"/>
      <c r="G97" s="90"/>
    </row>
    <row r="98" spans="1:7" s="90" customFormat="1" ht="9.9499999999999993" hidden="1" customHeight="1">
      <c r="C98" s="107" t="s">
        <v>226</v>
      </c>
      <c r="D98" s="114">
        <f>ROUND((1000*(1/E88)*E91*(E92^(2/3))*(E96^(0.5))),1)</f>
        <v>7.2</v>
      </c>
      <c r="E98" s="108" t="s">
        <v>129</v>
      </c>
    </row>
    <row r="99" spans="1:7" s="90" customFormat="1" ht="15" hidden="1" customHeight="1">
      <c r="A99" s="75"/>
      <c r="B99" s="75"/>
      <c r="C99" s="75"/>
      <c r="D99" s="119"/>
      <c r="E99" s="94"/>
      <c r="F99" s="86"/>
      <c r="G99" s="86"/>
    </row>
    <row r="100" spans="1:7" s="90" customFormat="1" ht="9.9499999999999993" hidden="1" customHeight="1">
      <c r="A100" s="187" t="str">
        <f>+CONCATENATE("De acuerdo con lo anterior, la tubería de derivación existente, según las consideraciones hidráulicas teóricas usadas para el presente proyecto, tiene una capacidad máxima de transporte de ",D98,"L/s.")</f>
        <v>De acuerdo con lo anterior, la tubería de derivación existente, según las consideraciones hidráulicas teóricas usadas para el presente proyecto, tiene una capacidad máxima de transporte de 7,2L/s.</v>
      </c>
      <c r="B100" s="187"/>
      <c r="C100" s="187"/>
      <c r="D100" s="187"/>
      <c r="E100" s="187"/>
      <c r="F100" s="187"/>
      <c r="G100" s="187"/>
    </row>
    <row r="101" spans="1:7" s="90" customFormat="1" ht="15" hidden="1" customHeight="1">
      <c r="A101" s="75"/>
      <c r="B101" s="75"/>
      <c r="C101" s="84"/>
      <c r="D101" s="75"/>
      <c r="E101" s="75"/>
      <c r="F101" s="75"/>
      <c r="G101" s="75"/>
    </row>
    <row r="102" spans="1:7" s="90" customFormat="1" ht="15" customHeight="1">
      <c r="A102" s="197" t="s">
        <v>334</v>
      </c>
      <c r="B102" s="197"/>
      <c r="C102" s="197"/>
      <c r="D102" s="198"/>
      <c r="E102" s="198"/>
      <c r="F102" s="198"/>
      <c r="G102" s="198"/>
    </row>
    <row r="103" spans="1:7" s="90" customFormat="1" ht="15" customHeight="1">
      <c r="A103" s="77"/>
      <c r="B103" s="81"/>
      <c r="C103" s="81"/>
      <c r="D103" s="81"/>
      <c r="E103" s="81"/>
      <c r="F103" s="81"/>
      <c r="G103" s="81"/>
    </row>
    <row r="104" spans="1:7" s="90" customFormat="1" ht="60" customHeight="1">
      <c r="A104" s="193" t="s">
        <v>318</v>
      </c>
      <c r="B104" s="193"/>
      <c r="C104" s="193"/>
      <c r="D104" s="193"/>
      <c r="E104" s="193"/>
      <c r="F104" s="193"/>
      <c r="G104" s="193"/>
    </row>
    <row r="105" spans="1:7" s="90" customFormat="1" ht="15" customHeight="1"/>
    <row r="106" spans="1:7" s="90" customFormat="1" ht="15" customHeight="1">
      <c r="A106" s="190" t="s">
        <v>232</v>
      </c>
      <c r="B106" s="190"/>
      <c r="C106" s="190"/>
      <c r="D106" s="190"/>
      <c r="E106" s="190"/>
      <c r="F106" s="190"/>
      <c r="G106" s="190"/>
    </row>
    <row r="107" spans="1:7" s="90" customFormat="1" ht="15" customHeight="1"/>
    <row r="108" spans="1:7" s="90" customFormat="1" ht="15" customHeight="1">
      <c r="A108" s="90" t="s">
        <v>88</v>
      </c>
      <c r="B108" s="92"/>
      <c r="C108" s="105"/>
    </row>
    <row r="109" spans="1:7" s="90" customFormat="1" ht="15.75" customHeight="1">
      <c r="A109" s="90" t="s">
        <v>229</v>
      </c>
      <c r="C109" s="87"/>
      <c r="D109" s="87"/>
      <c r="E109" s="111"/>
    </row>
    <row r="110" spans="1:7" s="90" customFormat="1" ht="15" customHeight="1">
      <c r="A110" s="90" t="s">
        <v>100</v>
      </c>
      <c r="C110" s="87"/>
      <c r="D110" s="87" t="s">
        <v>101</v>
      </c>
      <c r="E110" s="116">
        <v>0.61</v>
      </c>
    </row>
    <row r="111" spans="1:7" s="90" customFormat="1" ht="14.25" customHeight="1">
      <c r="A111" s="90" t="s">
        <v>98</v>
      </c>
      <c r="C111" s="87"/>
      <c r="D111" s="87" t="s">
        <v>99</v>
      </c>
      <c r="E111" s="115">
        <v>4</v>
      </c>
      <c r="F111" s="90" t="s">
        <v>115</v>
      </c>
      <c r="G111" s="91"/>
    </row>
    <row r="112" spans="1:7" ht="18" customHeight="1">
      <c r="A112" s="90" t="s">
        <v>98</v>
      </c>
      <c r="B112" s="90"/>
      <c r="C112" s="87"/>
      <c r="D112" s="87" t="s">
        <v>99</v>
      </c>
      <c r="E112" s="92">
        <f>E111*0.0254</f>
        <v>0.1016</v>
      </c>
      <c r="F112" s="90" t="s">
        <v>54</v>
      </c>
      <c r="G112" s="91"/>
    </row>
    <row r="113" spans="1:7" s="90" customFormat="1" ht="15" customHeight="1">
      <c r="A113" s="90" t="s">
        <v>127</v>
      </c>
      <c r="C113" s="87"/>
      <c r="D113" s="87" t="s">
        <v>63</v>
      </c>
      <c r="E113" s="91">
        <f>+(PI()/4)*(E112^2)</f>
        <v>8.107319665559963E-3</v>
      </c>
      <c r="F113" s="90" t="s">
        <v>206</v>
      </c>
      <c r="G113" s="91"/>
    </row>
    <row r="114" spans="1:7" s="90" customFormat="1" ht="15" customHeight="1">
      <c r="A114" s="90" t="s">
        <v>102</v>
      </c>
      <c r="C114" s="87"/>
      <c r="D114" s="87" t="s">
        <v>103</v>
      </c>
      <c r="E114" s="117">
        <v>0.18</v>
      </c>
      <c r="F114" s="90" t="s">
        <v>54</v>
      </c>
      <c r="G114" s="92"/>
    </row>
    <row r="115" spans="1:7" s="90" customFormat="1" ht="15.75" customHeight="1">
      <c r="A115" s="90" t="s">
        <v>104</v>
      </c>
      <c r="B115" s="91"/>
      <c r="D115" s="87" t="s">
        <v>105</v>
      </c>
      <c r="E115" s="92">
        <v>9.81</v>
      </c>
      <c r="F115" s="90" t="s">
        <v>200</v>
      </c>
      <c r="G115" s="92"/>
    </row>
    <row r="116" spans="1:7" s="90" customFormat="1" ht="45" customHeight="1">
      <c r="G116" s="91"/>
    </row>
    <row r="117" spans="1:7" ht="40.5" customHeight="1">
      <c r="A117" s="90"/>
      <c r="B117" s="90"/>
      <c r="C117" s="107" t="s">
        <v>230</v>
      </c>
      <c r="D117" s="114">
        <f>ROUND(((1000)*(E110*E113)*(((2*E115)*(E114^1.5))^0.5)),1)</f>
        <v>6.1</v>
      </c>
      <c r="E117" s="108" t="s">
        <v>129</v>
      </c>
      <c r="F117" s="90"/>
      <c r="G117" s="90"/>
    </row>
    <row r="118" spans="1:7" s="90" customFormat="1" ht="33.75" customHeight="1">
      <c r="A118" s="187" t="str">
        <f>+CONCATENATE("De acuerdo con lo anterior, la tubería de aducción existente, según las consideraciones hidráulicas teóricas usadas para el presente proyecto, tiene una capacidad máxima de transporte de ",D117,"L/s.")</f>
        <v>De acuerdo con lo anterior, la tubería de aducción existente, según las consideraciones hidráulicas teóricas usadas para el presente proyecto, tiene una capacidad máxima de transporte de 6,1L/s.</v>
      </c>
      <c r="B118" s="187"/>
      <c r="C118" s="187"/>
      <c r="D118" s="187"/>
      <c r="E118" s="187"/>
      <c r="F118" s="187"/>
      <c r="G118" s="187"/>
    </row>
    <row r="119" spans="1:7" ht="15" customHeight="1">
      <c r="A119" s="106"/>
      <c r="B119" s="110"/>
      <c r="C119" s="110"/>
      <c r="D119" s="110"/>
      <c r="E119" s="110"/>
      <c r="F119" s="110"/>
      <c r="G119" s="110"/>
    </row>
    <row r="120" spans="1:7" ht="15" customHeight="1">
      <c r="A120" s="101" t="s">
        <v>231</v>
      </c>
      <c r="B120" s="90"/>
      <c r="C120" s="90"/>
      <c r="D120" s="90"/>
      <c r="E120" s="90"/>
      <c r="F120" s="90"/>
      <c r="G120" s="90"/>
    </row>
    <row r="121" spans="1:7" ht="15" customHeight="1">
      <c r="A121" s="106"/>
      <c r="B121" s="110"/>
      <c r="C121" s="110"/>
      <c r="D121" s="110"/>
      <c r="E121" s="110"/>
      <c r="F121" s="110"/>
      <c r="G121" s="110"/>
    </row>
    <row r="122" spans="1:7" ht="29.25" customHeight="1">
      <c r="A122" s="193" t="s">
        <v>328</v>
      </c>
      <c r="B122" s="193"/>
      <c r="C122" s="193"/>
      <c r="D122" s="193"/>
      <c r="E122" s="193"/>
      <c r="F122" s="193"/>
      <c r="G122" s="193"/>
    </row>
    <row r="123" spans="1:7" ht="28.5" customHeight="1">
      <c r="A123" s="187" t="s">
        <v>331</v>
      </c>
      <c r="B123" s="187"/>
      <c r="C123" s="187"/>
      <c r="D123" s="187"/>
      <c r="E123" s="187"/>
      <c r="F123" s="187"/>
      <c r="G123" s="187"/>
    </row>
    <row r="124" spans="1:7">
      <c r="A124" s="90"/>
      <c r="B124" s="90"/>
      <c r="C124" s="90"/>
      <c r="D124" s="90"/>
      <c r="E124" s="90"/>
      <c r="F124" s="90"/>
      <c r="G124" s="90"/>
    </row>
    <row r="125" spans="1:7">
      <c r="A125" s="189" t="s">
        <v>235</v>
      </c>
      <c r="B125" s="189"/>
      <c r="C125" s="189"/>
      <c r="D125" s="189"/>
      <c r="E125" s="189"/>
      <c r="F125" s="189"/>
      <c r="G125" s="189"/>
    </row>
    <row r="126" spans="1:7">
      <c r="A126" s="189" t="s">
        <v>233</v>
      </c>
      <c r="B126" s="189"/>
      <c r="C126" s="189"/>
      <c r="D126" s="189"/>
      <c r="E126" s="189"/>
      <c r="F126" s="189"/>
      <c r="G126" s="189"/>
    </row>
    <row r="127" spans="1:7">
      <c r="A127" s="189" t="s">
        <v>234</v>
      </c>
      <c r="B127" s="189"/>
      <c r="C127" s="189"/>
      <c r="D127" s="189"/>
      <c r="E127" s="189"/>
      <c r="F127" s="189"/>
      <c r="G127" s="189"/>
    </row>
  </sheetData>
  <mergeCells count="48">
    <mergeCell ref="A2:A8"/>
    <mergeCell ref="B2:F2"/>
    <mergeCell ref="G2:G8"/>
    <mergeCell ref="B3:F6"/>
    <mergeCell ref="B7:C8"/>
    <mergeCell ref="D7:E8"/>
    <mergeCell ref="F7:F8"/>
    <mergeCell ref="A76:C76"/>
    <mergeCell ref="A77:C77"/>
    <mergeCell ref="A42:G42"/>
    <mergeCell ref="A65:G65"/>
    <mergeCell ref="A62:C62"/>
    <mergeCell ref="A55:G55"/>
    <mergeCell ref="A57:G57"/>
    <mergeCell ref="A60:C60"/>
    <mergeCell ref="A61:C61"/>
    <mergeCell ref="A13:G13"/>
    <mergeCell ref="A18:G18"/>
    <mergeCell ref="A20:G20"/>
    <mergeCell ref="A127:G127"/>
    <mergeCell ref="A126:G126"/>
    <mergeCell ref="A122:G122"/>
    <mergeCell ref="A84:G84"/>
    <mergeCell ref="A123:G123"/>
    <mergeCell ref="A118:G118"/>
    <mergeCell ref="A67:G67"/>
    <mergeCell ref="A80:G80"/>
    <mergeCell ref="A102:G102"/>
    <mergeCell ref="A100:G100"/>
    <mergeCell ref="A74:C74"/>
    <mergeCell ref="A75:C75"/>
    <mergeCell ref="A71:G71"/>
    <mergeCell ref="A11:G11"/>
    <mergeCell ref="A22:G22"/>
    <mergeCell ref="A24:G24"/>
    <mergeCell ref="A15:G15"/>
    <mergeCell ref="A125:G125"/>
    <mergeCell ref="A106:G106"/>
    <mergeCell ref="A69:G69"/>
    <mergeCell ref="A16:G16"/>
    <mergeCell ref="A44:G44"/>
    <mergeCell ref="A46:G46"/>
    <mergeCell ref="A53:G53"/>
    <mergeCell ref="A47:G47"/>
    <mergeCell ref="A63:C63"/>
    <mergeCell ref="A82:G82"/>
    <mergeCell ref="A104:G104"/>
    <mergeCell ref="A40:G40"/>
  </mergeCells>
  <phoneticPr fontId="0" type="noConversion"/>
  <printOptions horizontalCentered="1"/>
  <pageMargins left="0.19685039370078741" right="0.19685039370078741" top="0.59055118110236227" bottom="0.39370078740157483" header="0" footer="0.39370078740157483"/>
  <pageSetup orientation="portrait" horizontalDpi="300" verticalDpi="300" r:id="rId1"/>
  <headerFooter alignWithMargins="0">
    <oddFooter>&amp;C&amp;"Calibri,Normal"&amp;8Página &amp;P de &amp;N</oddFooter>
  </headerFooter>
  <rowBreaks count="3" manualBreakCount="3">
    <brk id="40" max="6" man="1"/>
    <brk id="78" max="6" man="1"/>
    <brk id="106" max="6" man="1"/>
  </rowBreaks>
  <drawing r:id="rId2"/>
  <legacyDrawing r:id="rId3"/>
</worksheet>
</file>

<file path=xl/worksheets/sheet2.xml><?xml version="1.0" encoding="utf-8"?>
<worksheet xmlns="http://schemas.openxmlformats.org/spreadsheetml/2006/main" xmlns:r="http://schemas.openxmlformats.org/officeDocument/2006/relationships">
  <dimension ref="A1:J90"/>
  <sheetViews>
    <sheetView view="pageBreakPreview" zoomScaleSheetLayoutView="100" workbookViewId="0">
      <selection activeCell="D29" sqref="D29"/>
    </sheetView>
  </sheetViews>
  <sheetFormatPr baseColWidth="10" defaultRowHeight="12.75"/>
  <cols>
    <col min="1" max="1" width="11.42578125" style="15"/>
    <col min="2" max="3" width="12.140625" style="15" customWidth="1"/>
    <col min="4" max="4" width="11.7109375" style="15" customWidth="1"/>
    <col min="5" max="5" width="9.28515625" style="15" customWidth="1"/>
    <col min="6" max="6" width="11.42578125" style="15"/>
    <col min="7" max="7" width="12.85546875" style="15" customWidth="1"/>
    <col min="8" max="16384" width="11.42578125" style="15"/>
  </cols>
  <sheetData>
    <row r="1" spans="1:8" ht="21" customHeight="1"/>
    <row r="2" spans="1:8" ht="42" customHeight="1"/>
    <row r="4" spans="1:8" s="14" customFormat="1" ht="24.75" customHeight="1">
      <c r="A4" s="218" t="s">
        <v>194</v>
      </c>
      <c r="B4" s="218"/>
      <c r="C4" s="218"/>
      <c r="D4" s="218"/>
      <c r="E4" s="218"/>
      <c r="F4" s="218"/>
      <c r="G4" s="218"/>
      <c r="H4" s="4"/>
    </row>
    <row r="5" spans="1:8" s="14" customFormat="1" ht="15" customHeight="1">
      <c r="A5" s="4"/>
      <c r="B5" s="32"/>
      <c r="C5" s="32"/>
      <c r="D5" s="32"/>
      <c r="E5" s="32"/>
      <c r="F5" s="32"/>
      <c r="G5" s="32"/>
    </row>
    <row r="6" spans="1:8" s="14" customFormat="1" ht="15" customHeight="1">
      <c r="A6" s="222" t="s">
        <v>188</v>
      </c>
      <c r="B6" s="223"/>
      <c r="C6" s="32"/>
      <c r="D6" s="32"/>
      <c r="E6" s="32"/>
      <c r="F6" s="32"/>
      <c r="G6" s="32"/>
    </row>
    <row r="7" spans="1:8" s="14" customFormat="1" ht="53.25" customHeight="1">
      <c r="A7" s="203" t="s">
        <v>177</v>
      </c>
      <c r="B7" s="203"/>
      <c r="C7" s="203"/>
      <c r="D7" s="203"/>
      <c r="E7" s="203"/>
      <c r="F7" s="203"/>
      <c r="G7" s="203"/>
    </row>
    <row r="8" spans="1:8" s="14" customFormat="1" ht="54" customHeight="1">
      <c r="A8" s="205" t="s">
        <v>179</v>
      </c>
      <c r="B8" s="205"/>
      <c r="C8" s="205"/>
      <c r="D8" s="205"/>
      <c r="E8" s="205"/>
      <c r="F8" s="205"/>
      <c r="G8" s="205"/>
    </row>
    <row r="9" spans="1:8" s="14" customFormat="1">
      <c r="A9" s="35"/>
      <c r="B9" s="35"/>
      <c r="C9" s="35"/>
      <c r="D9" s="35"/>
      <c r="E9" s="35"/>
      <c r="F9" s="35"/>
      <c r="G9" s="35"/>
    </row>
    <row r="10" spans="1:8" s="14" customFormat="1" ht="14.25" customHeight="1">
      <c r="A10" s="220" t="s">
        <v>184</v>
      </c>
      <c r="B10" s="221"/>
      <c r="C10" s="221"/>
      <c r="D10" s="221"/>
      <c r="E10" s="221"/>
      <c r="F10" s="221"/>
      <c r="G10" s="221"/>
    </row>
    <row r="11" spans="1:8" s="14" customFormat="1" ht="9" customHeight="1">
      <c r="B11" s="1"/>
      <c r="C11" s="1"/>
      <c r="D11" s="1"/>
      <c r="E11" s="1"/>
      <c r="F11" s="1"/>
      <c r="G11" s="1"/>
    </row>
    <row r="12" spans="1:8" ht="28.5" customHeight="1">
      <c r="A12" s="203" t="s">
        <v>126</v>
      </c>
      <c r="B12" s="203"/>
      <c r="C12" s="203"/>
      <c r="D12" s="203"/>
      <c r="E12" s="203"/>
      <c r="F12" s="203"/>
      <c r="G12" s="203"/>
    </row>
    <row r="13" spans="1:8" ht="9" customHeight="1">
      <c r="A13" s="31"/>
      <c r="B13" s="31"/>
      <c r="C13" s="31"/>
      <c r="D13" s="31"/>
      <c r="E13" s="31"/>
      <c r="F13" s="31"/>
      <c r="G13" s="31"/>
    </row>
    <row r="14" spans="1:8" ht="20.100000000000001" customHeight="1">
      <c r="A14" s="204" t="s">
        <v>56</v>
      </c>
      <c r="B14" s="204"/>
      <c r="C14" s="204"/>
      <c r="D14" s="204"/>
      <c r="E14" s="204"/>
      <c r="F14" s="204"/>
      <c r="G14" s="204"/>
    </row>
    <row r="15" spans="1:8" ht="24" customHeight="1">
      <c r="A15" s="203" t="s">
        <v>171</v>
      </c>
      <c r="B15" s="203"/>
      <c r="C15" s="203"/>
      <c r="D15" s="203"/>
      <c r="E15" s="203"/>
      <c r="F15" s="203"/>
      <c r="G15" s="203"/>
    </row>
    <row r="16" spans="1:8" ht="9" customHeight="1">
      <c r="A16" s="31"/>
      <c r="B16" s="31"/>
      <c r="C16" s="31"/>
      <c r="D16" s="31"/>
      <c r="E16" s="31"/>
      <c r="F16" s="31"/>
      <c r="G16" s="31"/>
    </row>
    <row r="17" spans="1:10">
      <c r="A17" s="15" t="s">
        <v>88</v>
      </c>
      <c r="E17" s="23"/>
      <c r="F17" s="20"/>
      <c r="G17" s="20"/>
    </row>
    <row r="18" spans="1:10" ht="15.75">
      <c r="A18" s="15" t="s">
        <v>137</v>
      </c>
      <c r="E18" s="26"/>
      <c r="F18" s="3"/>
      <c r="G18" s="20"/>
    </row>
    <row r="19" spans="1:10" ht="24" customHeight="1">
      <c r="A19" s="219" t="s">
        <v>176</v>
      </c>
      <c r="B19" s="219"/>
      <c r="C19" s="219"/>
      <c r="D19" s="219"/>
      <c r="E19" s="33">
        <v>0.497</v>
      </c>
      <c r="G19" s="20"/>
      <c r="H19" s="3"/>
    </row>
    <row r="20" spans="1:10" ht="15.75">
      <c r="A20" s="15" t="s">
        <v>139</v>
      </c>
      <c r="E20" s="30">
        <f>+((E23+1)*E21)/(E22)</f>
        <v>0.3666666666666667</v>
      </c>
      <c r="J20" s="24"/>
    </row>
    <row r="21" spans="1:10" ht="15.75">
      <c r="A21" s="15" t="s">
        <v>140</v>
      </c>
      <c r="E21" s="28">
        <v>0.01</v>
      </c>
      <c r="F21" s="15" t="s">
        <v>54</v>
      </c>
      <c r="H21" s="20"/>
    </row>
    <row r="22" spans="1:10">
      <c r="A22" s="15" t="s">
        <v>141</v>
      </c>
      <c r="E22" s="28">
        <v>0.3</v>
      </c>
      <c r="F22" s="15" t="s">
        <v>54</v>
      </c>
      <c r="H22" s="3"/>
    </row>
    <row r="23" spans="1:10" ht="15.75">
      <c r="A23" s="15" t="s">
        <v>142</v>
      </c>
      <c r="E23" s="28">
        <v>10</v>
      </c>
      <c r="F23" s="15" t="s">
        <v>87</v>
      </c>
      <c r="H23" s="30"/>
    </row>
    <row r="24" spans="1:10" ht="15.75">
      <c r="A24" s="15" t="s">
        <v>175</v>
      </c>
      <c r="C24" s="20"/>
      <c r="D24" s="20"/>
      <c r="E24" s="29">
        <f>0.025*(1/2)</f>
        <v>1.2500000000000001E-2</v>
      </c>
      <c r="F24" s="15" t="s">
        <v>54</v>
      </c>
    </row>
    <row r="25" spans="1:10">
      <c r="A25" s="15" t="s">
        <v>160</v>
      </c>
      <c r="C25" s="20"/>
      <c r="D25" s="20"/>
      <c r="E25" s="34">
        <v>0.3</v>
      </c>
      <c r="F25" s="15" t="s">
        <v>54</v>
      </c>
    </row>
    <row r="26" spans="1:10" ht="14.25">
      <c r="A26" s="15" t="s">
        <v>143</v>
      </c>
      <c r="C26" s="20"/>
      <c r="E26" s="15">
        <v>9.81</v>
      </c>
      <c r="F26" s="15" t="s">
        <v>55</v>
      </c>
    </row>
    <row r="27" spans="1:10">
      <c r="A27" s="15" t="s">
        <v>144</v>
      </c>
      <c r="C27" s="20"/>
      <c r="E27" s="15">
        <v>1.56</v>
      </c>
    </row>
    <row r="28" spans="1:10" ht="12.95" customHeight="1">
      <c r="C28" s="20"/>
    </row>
    <row r="29" spans="1:10" ht="14.25">
      <c r="C29" s="16" t="s">
        <v>58</v>
      </c>
      <c r="D29" s="17">
        <f>(((E19*E20*(E25^(2/3))*((2*E26)^(0.5))*E22)/(E27^(1/3)))^(3/2))*1000</f>
        <v>28.622450875237316</v>
      </c>
      <c r="E29" s="18" t="s">
        <v>129</v>
      </c>
      <c r="F29" s="2"/>
      <c r="G29" s="2"/>
      <c r="H29" s="2"/>
      <c r="I29" s="2"/>
    </row>
    <row r="30" spans="1:10" ht="11.25" customHeight="1">
      <c r="C30" s="20"/>
    </row>
    <row r="31" spans="1:10" ht="25.5" customHeight="1">
      <c r="A31" s="205" t="s">
        <v>162</v>
      </c>
      <c r="B31" s="205"/>
      <c r="C31" s="205"/>
      <c r="D31" s="205"/>
      <c r="E31" s="205"/>
      <c r="F31" s="205"/>
      <c r="G31" s="205"/>
    </row>
    <row r="32" spans="1:10" ht="12.95" customHeight="1">
      <c r="C32" s="20"/>
    </row>
    <row r="33" spans="1:7" s="14" customFormat="1" ht="14.25" customHeight="1">
      <c r="A33" s="5" t="s">
        <v>185</v>
      </c>
      <c r="B33" s="1"/>
      <c r="C33" s="1"/>
      <c r="D33" s="1"/>
      <c r="E33" s="1"/>
      <c r="F33" s="1"/>
      <c r="G33" s="1"/>
    </row>
    <row r="34" spans="1:7" s="14" customFormat="1" ht="9" customHeight="1">
      <c r="A34" s="5"/>
      <c r="B34" s="1"/>
      <c r="C34" s="1"/>
      <c r="D34" s="1"/>
      <c r="E34" s="1"/>
      <c r="F34" s="1"/>
      <c r="G34" s="1"/>
    </row>
    <row r="35" spans="1:7" s="14" customFormat="1" ht="41.25" customHeight="1">
      <c r="A35" s="203" t="s">
        <v>116</v>
      </c>
      <c r="B35" s="203"/>
      <c r="C35" s="203"/>
      <c r="D35" s="203"/>
      <c r="E35" s="203"/>
      <c r="F35" s="203"/>
      <c r="G35" s="203"/>
    </row>
    <row r="36" spans="1:7" s="14" customFormat="1" ht="21.75" customHeight="1">
      <c r="A36" s="204" t="s">
        <v>173</v>
      </c>
      <c r="B36" s="204"/>
      <c r="C36" s="204"/>
      <c r="D36" s="204"/>
      <c r="E36" s="204"/>
      <c r="F36" s="204"/>
      <c r="G36" s="204"/>
    </row>
    <row r="37" spans="1:7" s="14" customFormat="1" ht="30.75" customHeight="1">
      <c r="A37" s="203" t="s">
        <v>172</v>
      </c>
      <c r="B37" s="203"/>
      <c r="C37" s="203"/>
      <c r="D37" s="203"/>
      <c r="E37" s="203"/>
      <c r="F37" s="203"/>
      <c r="G37" s="203"/>
    </row>
    <row r="38" spans="1:7" s="14" customFormat="1">
      <c r="A38" s="15" t="s">
        <v>88</v>
      </c>
      <c r="B38" s="1"/>
      <c r="C38" s="1"/>
      <c r="D38" s="1"/>
      <c r="E38" s="1"/>
      <c r="F38" s="1"/>
      <c r="G38" s="1"/>
    </row>
    <row r="39" spans="1:7" s="14" customFormat="1" ht="15" customHeight="1">
      <c r="A39" s="15" t="s">
        <v>59</v>
      </c>
      <c r="B39" s="1"/>
      <c r="C39" s="1"/>
      <c r="D39" s="19">
        <f>+D29/1000</f>
        <v>2.8622450875237317E-2</v>
      </c>
      <c r="E39" s="3" t="s">
        <v>60</v>
      </c>
      <c r="F39" s="3"/>
      <c r="G39" s="3"/>
    </row>
    <row r="40" spans="1:7" s="14" customFormat="1" ht="15" customHeight="1">
      <c r="A40" s="15" t="s">
        <v>57</v>
      </c>
      <c r="B40" s="1"/>
      <c r="C40" s="1"/>
      <c r="D40" s="73">
        <v>0.3</v>
      </c>
      <c r="E40" s="3" t="s">
        <v>54</v>
      </c>
      <c r="F40" s="3"/>
      <c r="G40" s="3"/>
    </row>
    <row r="41" spans="1:7" s="14" customFormat="1" ht="15" customHeight="1">
      <c r="A41" s="15" t="s">
        <v>62</v>
      </c>
      <c r="B41" s="1"/>
      <c r="C41" s="1"/>
      <c r="D41" s="21">
        <f>+(D39/(1.84*D40))^(2/3)</f>
        <v>0.13905240157105919</v>
      </c>
      <c r="E41" s="5" t="s">
        <v>54</v>
      </c>
      <c r="F41" s="3"/>
      <c r="G41" s="3"/>
    </row>
    <row r="42" spans="1:7" s="14" customFormat="1" ht="12.95" customHeight="1">
      <c r="A42" s="15"/>
      <c r="B42" s="1"/>
      <c r="C42" s="1"/>
      <c r="D42" s="21"/>
      <c r="E42" s="5"/>
      <c r="F42" s="3"/>
      <c r="G42" s="3"/>
    </row>
    <row r="43" spans="1:7" s="14" customFormat="1" ht="28.5" customHeight="1">
      <c r="A43" s="205" t="str">
        <f>+CONCATENATE("Lo anterior indica que para que por el vertedero de captación  circule el caudal máximo de captación, es necesario contar con una lamina de agua igual a ",ROUND((D41),2)," m")</f>
        <v>Lo anterior indica que para que por el vertedero de captación  circule el caudal máximo de captación, es necesario contar con una lamina de agua igual a 0,14 m</v>
      </c>
      <c r="B43" s="205"/>
      <c r="C43" s="205"/>
      <c r="D43" s="205"/>
      <c r="E43" s="205"/>
      <c r="F43" s="205"/>
      <c r="G43" s="205"/>
    </row>
    <row r="44" spans="1:7" s="14" customFormat="1" ht="21.75" customHeight="1">
      <c r="A44" s="205" t="s">
        <v>178</v>
      </c>
      <c r="B44" s="205"/>
      <c r="C44" s="205"/>
      <c r="D44" s="205"/>
      <c r="E44" s="205"/>
      <c r="F44" s="205"/>
      <c r="G44" s="205"/>
    </row>
    <row r="45" spans="1:7" s="14" customFormat="1" ht="23.25" customHeight="1">
      <c r="A45" s="204" t="s">
        <v>163</v>
      </c>
      <c r="B45" s="204"/>
      <c r="C45" s="204"/>
      <c r="D45" s="204"/>
      <c r="E45" s="204"/>
      <c r="F45" s="204"/>
      <c r="G45" s="204"/>
    </row>
    <row r="46" spans="1:7" s="14" customFormat="1">
      <c r="A46" s="15" t="s">
        <v>88</v>
      </c>
      <c r="B46" s="1"/>
      <c r="C46" s="1"/>
      <c r="D46" s="1"/>
      <c r="E46" s="1"/>
      <c r="F46" s="1"/>
      <c r="G46" s="1"/>
    </row>
    <row r="47" spans="1:7" s="14" customFormat="1" ht="15" customHeight="1">
      <c r="A47" s="206" t="s">
        <v>165</v>
      </c>
      <c r="B47" s="206"/>
      <c r="C47" s="206"/>
      <c r="D47" s="30">
        <v>0.09</v>
      </c>
      <c r="E47" s="3" t="s">
        <v>54</v>
      </c>
      <c r="F47" s="3"/>
      <c r="G47" s="3"/>
    </row>
    <row r="48" spans="1:7" s="14" customFormat="1" ht="15" customHeight="1">
      <c r="A48" s="206" t="s">
        <v>164</v>
      </c>
      <c r="B48" s="206"/>
      <c r="C48" s="206"/>
      <c r="D48" s="73">
        <v>0.3</v>
      </c>
      <c r="E48" s="3" t="s">
        <v>54</v>
      </c>
      <c r="F48" s="3"/>
      <c r="G48" s="3"/>
    </row>
    <row r="49" spans="1:7" s="14" customFormat="1" ht="15" customHeight="1">
      <c r="A49" s="206" t="s">
        <v>167</v>
      </c>
      <c r="B49" s="206"/>
      <c r="C49" s="206"/>
      <c r="D49" s="74">
        <f>(1.834*D48*(D47^(3/2)))</f>
        <v>1.4855399999999991E-2</v>
      </c>
      <c r="E49" s="5" t="s">
        <v>161</v>
      </c>
      <c r="F49" s="3"/>
      <c r="G49" s="3"/>
    </row>
    <row r="50" spans="1:7" s="14" customFormat="1" ht="15" customHeight="1">
      <c r="A50" s="205"/>
      <c r="B50" s="205"/>
      <c r="C50" s="205"/>
      <c r="D50" s="205"/>
      <c r="E50" s="205"/>
      <c r="F50" s="205"/>
      <c r="G50" s="205"/>
    </row>
    <row r="51" spans="1:7" s="14" customFormat="1" ht="14.25" customHeight="1">
      <c r="A51" s="5" t="s">
        <v>186</v>
      </c>
      <c r="B51" s="1"/>
      <c r="C51" s="1"/>
      <c r="D51" s="1"/>
      <c r="E51" s="1"/>
      <c r="F51" s="1"/>
      <c r="G51" s="1"/>
    </row>
    <row r="52" spans="1:7" s="14" customFormat="1" ht="6" customHeight="1">
      <c r="A52" s="5"/>
      <c r="B52" s="1"/>
      <c r="C52" s="1"/>
      <c r="D52" s="1"/>
      <c r="E52" s="1"/>
      <c r="F52" s="1"/>
      <c r="G52" s="1"/>
    </row>
    <row r="53" spans="1:7" s="14" customFormat="1" ht="30" customHeight="1">
      <c r="A53" s="203" t="s">
        <v>168</v>
      </c>
      <c r="B53" s="203"/>
      <c r="C53" s="203"/>
      <c r="D53" s="203"/>
      <c r="E53" s="203"/>
      <c r="F53" s="203"/>
      <c r="G53" s="203"/>
    </row>
    <row r="54" spans="1:7" s="14" customFormat="1" ht="12" customHeight="1">
      <c r="A54" s="35"/>
      <c r="B54" s="35"/>
      <c r="C54" s="35"/>
      <c r="D54" s="35"/>
      <c r="E54" s="35"/>
      <c r="F54" s="35"/>
      <c r="G54" s="35"/>
    </row>
    <row r="55" spans="1:7" s="27" customFormat="1" ht="14.25" customHeight="1">
      <c r="A55" s="36" t="s">
        <v>189</v>
      </c>
      <c r="B55" s="37"/>
      <c r="C55" s="37"/>
      <c r="D55" s="37"/>
      <c r="E55" s="37"/>
      <c r="F55" s="37"/>
      <c r="G55" s="37"/>
    </row>
    <row r="56" spans="1:7" s="27" customFormat="1" ht="6.75" customHeight="1">
      <c r="A56" s="36"/>
      <c r="B56" s="37"/>
      <c r="C56" s="37"/>
      <c r="D56" s="37"/>
      <c r="E56" s="37"/>
      <c r="F56" s="37"/>
      <c r="G56" s="37"/>
    </row>
    <row r="57" spans="1:7" s="38" customFormat="1" ht="75" customHeight="1">
      <c r="A57" s="202" t="s">
        <v>183</v>
      </c>
      <c r="B57" s="198"/>
      <c r="C57" s="198"/>
      <c r="D57" s="198"/>
      <c r="E57" s="198"/>
      <c r="F57" s="198"/>
      <c r="G57" s="198"/>
    </row>
    <row r="58" spans="1:7" s="14" customFormat="1" ht="14.25" hidden="1" customHeight="1">
      <c r="A58" s="14" t="s">
        <v>150</v>
      </c>
      <c r="B58" s="15"/>
      <c r="C58" s="15"/>
      <c r="D58" s="15"/>
      <c r="E58" s="15"/>
      <c r="F58" s="15"/>
      <c r="G58" s="15"/>
    </row>
    <row r="59" spans="1:7" s="14" customFormat="1" ht="9.9499999999999993" hidden="1" customHeight="1">
      <c r="A59" s="15"/>
      <c r="B59" s="15"/>
      <c r="C59" s="15"/>
      <c r="D59" s="15"/>
      <c r="E59" s="15"/>
      <c r="F59" s="15"/>
      <c r="G59" s="15"/>
    </row>
    <row r="60" spans="1:7" s="14" customFormat="1" ht="85.5" hidden="1" customHeight="1">
      <c r="A60" s="198" t="s">
        <v>174</v>
      </c>
      <c r="B60" s="198"/>
      <c r="C60" s="198"/>
      <c r="D60" s="198"/>
      <c r="E60" s="198"/>
      <c r="F60" s="198"/>
      <c r="G60" s="198"/>
    </row>
    <row r="61" spans="1:7" ht="9.9499999999999993" hidden="1" customHeight="1"/>
    <row r="62" spans="1:7" ht="17.25" hidden="1" customHeight="1">
      <c r="A62" s="204" t="s">
        <v>125</v>
      </c>
      <c r="B62" s="204"/>
      <c r="C62" s="204"/>
      <c r="D62" s="204"/>
      <c r="E62" s="204"/>
      <c r="F62" s="204"/>
      <c r="G62" s="204"/>
    </row>
    <row r="63" spans="1:7" ht="9.9499999999999993" hidden="1" customHeight="1"/>
    <row r="64" spans="1:7" ht="16.5" hidden="1" customHeight="1">
      <c r="A64" s="15" t="s">
        <v>88</v>
      </c>
      <c r="B64" s="23"/>
      <c r="C64" s="30"/>
    </row>
    <row r="65" spans="1:7" ht="16.5" hidden="1" customHeight="1">
      <c r="A65" s="15" t="s">
        <v>124</v>
      </c>
      <c r="C65" s="20"/>
      <c r="D65" s="20" t="s">
        <v>117</v>
      </c>
      <c r="E65" s="26">
        <f>+C73</f>
        <v>153</v>
      </c>
      <c r="F65" s="15" t="s">
        <v>129</v>
      </c>
    </row>
    <row r="66" spans="1:7" ht="16.5" hidden="1" customHeight="1">
      <c r="A66" s="15" t="s">
        <v>100</v>
      </c>
      <c r="C66" s="20"/>
      <c r="D66" s="20" t="s">
        <v>101</v>
      </c>
      <c r="E66" s="28">
        <v>0.61</v>
      </c>
      <c r="G66" s="28"/>
    </row>
    <row r="67" spans="1:7" ht="16.5" hidden="1" customHeight="1">
      <c r="A67" s="15" t="s">
        <v>98</v>
      </c>
      <c r="C67" s="20"/>
      <c r="D67" s="20" t="s">
        <v>99</v>
      </c>
      <c r="E67" s="25">
        <v>10</v>
      </c>
      <c r="F67" s="15" t="s">
        <v>115</v>
      </c>
      <c r="G67" s="24"/>
    </row>
    <row r="68" spans="1:7" ht="16.5" hidden="1" customHeight="1">
      <c r="A68" s="15" t="s">
        <v>98</v>
      </c>
      <c r="C68" s="20"/>
      <c r="D68" s="20" t="s">
        <v>99</v>
      </c>
      <c r="E68" s="23">
        <f>E67*0.025</f>
        <v>0.25</v>
      </c>
      <c r="F68" s="15" t="s">
        <v>54</v>
      </c>
      <c r="G68" s="24"/>
    </row>
    <row r="69" spans="1:7" ht="16.5" hidden="1" customHeight="1">
      <c r="A69" s="15" t="s">
        <v>127</v>
      </c>
      <c r="C69" s="20"/>
      <c r="D69" s="20" t="s">
        <v>63</v>
      </c>
      <c r="E69" s="24">
        <f>+(PI()/4)*(E68^2)</f>
        <v>4.9087385212340517E-2</v>
      </c>
      <c r="F69" s="15" t="s">
        <v>61</v>
      </c>
      <c r="G69" s="24"/>
    </row>
    <row r="70" spans="1:7" ht="16.5" hidden="1" customHeight="1">
      <c r="A70" s="15" t="s">
        <v>102</v>
      </c>
      <c r="C70" s="20"/>
      <c r="D70" s="20" t="s">
        <v>103</v>
      </c>
      <c r="E70" s="23">
        <v>1.21</v>
      </c>
      <c r="F70" s="15" t="s">
        <v>54</v>
      </c>
      <c r="G70" s="23"/>
    </row>
    <row r="71" spans="1:7" ht="16.5" hidden="1" customHeight="1">
      <c r="A71" s="15" t="s">
        <v>104</v>
      </c>
      <c r="B71" s="24"/>
      <c r="D71" s="20" t="s">
        <v>105</v>
      </c>
      <c r="E71" s="23">
        <v>9.81</v>
      </c>
      <c r="F71" s="15" t="s">
        <v>55</v>
      </c>
      <c r="G71" s="23"/>
    </row>
    <row r="72" spans="1:7" ht="6" hidden="1" customHeight="1">
      <c r="G72" s="24"/>
    </row>
    <row r="73" spans="1:7" ht="13.5" hidden="1" customHeight="1">
      <c r="C73" s="209">
        <f>ROUND(((1000)*(E66*E69)*(((2*E71)*(E70^1.5))^0.5)),1)</f>
        <v>153</v>
      </c>
      <c r="D73" s="210"/>
      <c r="F73" s="28"/>
      <c r="G73" s="28"/>
    </row>
    <row r="74" spans="1:7" ht="16.5" hidden="1" customHeight="1"/>
    <row r="75" spans="1:7" ht="30" hidden="1" customHeight="1">
      <c r="A75" s="203" t="str">
        <f>+CONCATENATE("Del cálculo anterior se concluye entonces; que la tubería de aducción tiene una capacidad máxima de transportar un caudal de ",ROUND((C73),2)," L/s.")</f>
        <v>Del cálculo anterior se concluye entonces; que la tubería de aducción tiene una capacidad máxima de transportar un caudal de 153 L/s.</v>
      </c>
      <c r="B75" s="203"/>
      <c r="C75" s="203"/>
      <c r="D75" s="203"/>
      <c r="E75" s="203"/>
      <c r="F75" s="203"/>
      <c r="G75" s="203"/>
    </row>
    <row r="76" spans="1:7" hidden="1">
      <c r="A76" s="39"/>
      <c r="B76" s="40"/>
      <c r="C76" s="40"/>
      <c r="D76" s="40"/>
      <c r="E76" s="40"/>
      <c r="F76" s="40"/>
      <c r="G76" s="40"/>
    </row>
    <row r="77" spans="1:7" ht="29.25" customHeight="1">
      <c r="A77" s="14" t="s">
        <v>187</v>
      </c>
    </row>
    <row r="78" spans="1:7" ht="18.75" customHeight="1">
      <c r="A78" s="203" t="s">
        <v>182</v>
      </c>
      <c r="B78" s="203"/>
      <c r="C78" s="203"/>
      <c r="D78" s="203"/>
      <c r="E78" s="203"/>
      <c r="F78" s="203"/>
      <c r="G78" s="203"/>
    </row>
    <row r="79" spans="1:7" ht="39.75" customHeight="1">
      <c r="A79" s="203" t="s">
        <v>193</v>
      </c>
      <c r="B79" s="203"/>
      <c r="C79" s="203"/>
      <c r="D79" s="203"/>
      <c r="E79" s="203"/>
      <c r="F79" s="203"/>
      <c r="G79" s="203"/>
    </row>
    <row r="80" spans="1:7" ht="13.5" thickBot="1">
      <c r="A80" s="211"/>
      <c r="B80" s="211"/>
      <c r="C80" s="211"/>
      <c r="D80" s="211"/>
      <c r="E80" s="211"/>
      <c r="F80" s="211"/>
      <c r="G80" s="211"/>
    </row>
    <row r="81" spans="1:8" ht="13.5" thickTop="1">
      <c r="B81" s="212" t="s">
        <v>151</v>
      </c>
      <c r="C81" s="213"/>
      <c r="D81" s="41" t="s">
        <v>152</v>
      </c>
      <c r="E81" s="41" t="s">
        <v>153</v>
      </c>
      <c r="F81" s="42" t="s">
        <v>154</v>
      </c>
      <c r="G81" s="28"/>
    </row>
    <row r="82" spans="1:8">
      <c r="B82" s="214" t="s">
        <v>156</v>
      </c>
      <c r="C82" s="215"/>
      <c r="D82" s="43"/>
      <c r="E82" s="43"/>
      <c r="F82" s="44"/>
      <c r="G82" s="24"/>
    </row>
    <row r="83" spans="1:8">
      <c r="B83" s="214" t="s">
        <v>157</v>
      </c>
      <c r="C83" s="215"/>
      <c r="D83" s="43"/>
      <c r="E83" s="43"/>
      <c r="F83" s="44"/>
      <c r="G83" s="24"/>
    </row>
    <row r="84" spans="1:8">
      <c r="B84" s="214" t="s">
        <v>158</v>
      </c>
      <c r="C84" s="215"/>
      <c r="D84" s="43"/>
      <c r="E84" s="43"/>
      <c r="F84" s="44"/>
      <c r="G84" s="24"/>
    </row>
    <row r="85" spans="1:8" ht="13.5" thickBot="1">
      <c r="B85" s="216" t="s">
        <v>159</v>
      </c>
      <c r="C85" s="217"/>
      <c r="D85" s="45"/>
      <c r="E85" s="45"/>
      <c r="F85" s="46"/>
      <c r="G85" s="23"/>
      <c r="H85" s="24"/>
    </row>
    <row r="86" spans="1:8" ht="13.5" thickTop="1">
      <c r="B86" s="24"/>
      <c r="D86" s="20"/>
      <c r="E86" s="23"/>
      <c r="G86" s="23"/>
    </row>
    <row r="87" spans="1:8" ht="9.9499999999999993" customHeight="1">
      <c r="G87" s="24"/>
    </row>
    <row r="88" spans="1:8">
      <c r="C88" s="208"/>
      <c r="D88" s="208"/>
      <c r="F88" s="28"/>
      <c r="G88" s="28"/>
    </row>
    <row r="89" spans="1:8" ht="9.9499999999999993" customHeight="1"/>
    <row r="90" spans="1:8" ht="30" customHeight="1">
      <c r="A90" s="207"/>
      <c r="B90" s="207"/>
      <c r="C90" s="207"/>
      <c r="D90" s="207"/>
      <c r="E90" s="207"/>
      <c r="F90" s="207"/>
      <c r="G90" s="207"/>
    </row>
  </sheetData>
  <mergeCells count="36">
    <mergeCell ref="A19:D19"/>
    <mergeCell ref="A10:G10"/>
    <mergeCell ref="A6:B6"/>
    <mergeCell ref="A15:G15"/>
    <mergeCell ref="A37:G37"/>
    <mergeCell ref="A31:G31"/>
    <mergeCell ref="A4:G4"/>
    <mergeCell ref="A12:G12"/>
    <mergeCell ref="A14:G14"/>
    <mergeCell ref="A7:G7"/>
    <mergeCell ref="A8:G8"/>
    <mergeCell ref="A90:G90"/>
    <mergeCell ref="C88:D88"/>
    <mergeCell ref="A62:G62"/>
    <mergeCell ref="C73:D73"/>
    <mergeCell ref="A75:G75"/>
    <mergeCell ref="A80:G80"/>
    <mergeCell ref="B81:C81"/>
    <mergeCell ref="B82:C82"/>
    <mergeCell ref="B83:C83"/>
    <mergeCell ref="A79:G79"/>
    <mergeCell ref="B85:C85"/>
    <mergeCell ref="B84:C84"/>
    <mergeCell ref="A57:G57"/>
    <mergeCell ref="A60:G60"/>
    <mergeCell ref="A53:G53"/>
    <mergeCell ref="A78:G78"/>
    <mergeCell ref="A35:G35"/>
    <mergeCell ref="A36:G36"/>
    <mergeCell ref="A43:G43"/>
    <mergeCell ref="A50:G50"/>
    <mergeCell ref="A49:C49"/>
    <mergeCell ref="A44:G44"/>
    <mergeCell ref="A45:G45"/>
    <mergeCell ref="A47:C47"/>
    <mergeCell ref="A48:C48"/>
  </mergeCells>
  <phoneticPr fontId="0" type="noConversion"/>
  <printOptions horizontalCentered="1"/>
  <pageMargins left="0.75" right="0.75" top="0.59055118110236227" bottom="0.39370078740157483" header="0" footer="0.39370078740157483"/>
  <pageSetup orientation="portrait" horizontalDpi="300" verticalDpi="300" r:id="rId1"/>
  <headerFooter alignWithMargins="0">
    <oddFooter>&amp;C&amp;9&amp;P/&amp;N&amp;R&amp;8&amp;F</oddFooter>
  </headerFooter>
  <rowBreaks count="1" manualBreakCount="1">
    <brk id="35" max="6" man="1"/>
  </rowBreaks>
  <drawing r:id="rId2"/>
  <legacyDrawing r:id="rId3"/>
</worksheet>
</file>

<file path=xl/worksheets/sheet3.xml><?xml version="1.0" encoding="utf-8"?>
<worksheet xmlns="http://schemas.openxmlformats.org/spreadsheetml/2006/main" xmlns:r="http://schemas.openxmlformats.org/officeDocument/2006/relationships">
  <sheetPr>
    <tabColor rgb="FF00B050"/>
  </sheetPr>
  <dimension ref="A1:M127"/>
  <sheetViews>
    <sheetView view="pageBreakPreview" zoomScaleSheetLayoutView="100" workbookViewId="0">
      <selection activeCell="A16" sqref="A16:G16"/>
    </sheetView>
  </sheetViews>
  <sheetFormatPr baseColWidth="10" defaultRowHeight="12.75"/>
  <cols>
    <col min="1" max="1" width="21.42578125" style="178" customWidth="1"/>
    <col min="2" max="2" width="12.140625" style="178" customWidth="1"/>
    <col min="3" max="3" width="15.85546875" style="178" customWidth="1"/>
    <col min="4" max="4" width="11.7109375" style="178" customWidth="1"/>
    <col min="5" max="5" width="9.28515625" style="178" customWidth="1"/>
    <col min="6" max="6" width="11.42578125" style="178"/>
    <col min="7" max="7" width="20.42578125" style="178" customWidth="1"/>
    <col min="8" max="9" width="11.42578125" style="178"/>
    <col min="10" max="13" width="17.7109375" style="178" customWidth="1"/>
    <col min="14" max="16384" width="11.42578125" style="178"/>
  </cols>
  <sheetData>
    <row r="1" spans="1:8" s="180" customFormat="1"/>
    <row r="2" spans="1:8">
      <c r="A2" s="200"/>
      <c r="B2" s="200" t="s">
        <v>320</v>
      </c>
      <c r="C2" s="200"/>
      <c r="D2" s="200"/>
      <c r="E2" s="200"/>
      <c r="F2" s="200"/>
      <c r="G2" s="200"/>
    </row>
    <row r="3" spans="1:8" s="180" customFormat="1">
      <c r="A3" s="200"/>
      <c r="B3" s="201" t="s">
        <v>322</v>
      </c>
      <c r="C3" s="201"/>
      <c r="D3" s="201"/>
      <c r="E3" s="201"/>
      <c r="F3" s="201"/>
      <c r="G3" s="200"/>
    </row>
    <row r="4" spans="1:8" s="180" customFormat="1">
      <c r="A4" s="200"/>
      <c r="B4" s="201"/>
      <c r="C4" s="201"/>
      <c r="D4" s="201"/>
      <c r="E4" s="201"/>
      <c r="F4" s="201"/>
      <c r="G4" s="200"/>
    </row>
    <row r="5" spans="1:8" s="180" customFormat="1">
      <c r="A5" s="200"/>
      <c r="B5" s="201"/>
      <c r="C5" s="201"/>
      <c r="D5" s="201"/>
      <c r="E5" s="201"/>
      <c r="F5" s="201"/>
      <c r="G5" s="200"/>
    </row>
    <row r="6" spans="1:8" s="180" customFormat="1" ht="25.5" customHeight="1">
      <c r="A6" s="200"/>
      <c r="B6" s="201"/>
      <c r="C6" s="201"/>
      <c r="D6" s="201"/>
      <c r="E6" s="201"/>
      <c r="F6" s="201"/>
      <c r="G6" s="200"/>
    </row>
    <row r="7" spans="1:8" s="180" customFormat="1">
      <c r="A7" s="200"/>
      <c r="B7" s="201" t="s">
        <v>323</v>
      </c>
      <c r="C7" s="201"/>
      <c r="D7" s="200" t="s">
        <v>332</v>
      </c>
      <c r="E7" s="200"/>
      <c r="F7" s="200" t="s">
        <v>321</v>
      </c>
      <c r="G7" s="200"/>
    </row>
    <row r="8" spans="1:8" s="180" customFormat="1" ht="30" customHeight="1">
      <c r="A8" s="200"/>
      <c r="B8" s="201"/>
      <c r="C8" s="201"/>
      <c r="D8" s="200"/>
      <c r="E8" s="200"/>
      <c r="F8" s="200"/>
      <c r="G8" s="200"/>
    </row>
    <row r="9" spans="1:8" s="180" customFormat="1"/>
    <row r="10" spans="1:8" s="180" customFormat="1"/>
    <row r="11" spans="1:8" s="77" customFormat="1" ht="35.1" customHeight="1">
      <c r="A11" s="186" t="s">
        <v>336</v>
      </c>
      <c r="B11" s="186"/>
      <c r="C11" s="186"/>
      <c r="D11" s="186"/>
      <c r="E11" s="186"/>
      <c r="F11" s="186"/>
      <c r="G11" s="186"/>
      <c r="H11" s="76"/>
    </row>
    <row r="12" spans="1:8" s="77" customFormat="1" ht="9.9499999999999993" customHeight="1">
      <c r="A12" s="78"/>
      <c r="B12" s="78"/>
      <c r="C12" s="78"/>
      <c r="D12" s="78"/>
      <c r="E12" s="78"/>
      <c r="F12" s="78"/>
      <c r="G12" s="78"/>
      <c r="H12" s="76"/>
    </row>
    <row r="13" spans="1:8" s="77" customFormat="1" ht="15" customHeight="1">
      <c r="A13" s="194" t="s">
        <v>209</v>
      </c>
      <c r="B13" s="194"/>
      <c r="C13" s="194"/>
      <c r="D13" s="195"/>
      <c r="E13" s="195"/>
      <c r="F13" s="195"/>
      <c r="G13" s="195"/>
    </row>
    <row r="14" spans="1:8" s="77" customFormat="1" ht="9.9499999999999993" customHeight="1">
      <c r="A14" s="80"/>
      <c r="B14" s="80"/>
      <c r="C14" s="80"/>
      <c r="D14" s="79"/>
      <c r="E14" s="79"/>
      <c r="F14" s="79"/>
      <c r="G14" s="79"/>
    </row>
    <row r="15" spans="1:8" s="77" customFormat="1" ht="54.95" customHeight="1">
      <c r="A15" s="187" t="s">
        <v>325</v>
      </c>
      <c r="B15" s="187"/>
      <c r="C15" s="187"/>
      <c r="D15" s="187"/>
      <c r="E15" s="187"/>
      <c r="F15" s="187"/>
      <c r="G15" s="187"/>
    </row>
    <row r="16" spans="1:8" s="77" customFormat="1" ht="61.5" customHeight="1">
      <c r="A16" s="187" t="s">
        <v>327</v>
      </c>
      <c r="B16" s="191"/>
      <c r="C16" s="191"/>
      <c r="D16" s="191"/>
      <c r="E16" s="191"/>
      <c r="F16" s="191"/>
      <c r="G16" s="191"/>
    </row>
    <row r="17" spans="1:10" s="77" customFormat="1" ht="9.9499999999999993" customHeight="1">
      <c r="A17" s="179"/>
      <c r="B17" s="179"/>
      <c r="C17" s="179"/>
      <c r="D17" s="179"/>
      <c r="E17" s="179"/>
      <c r="F17" s="179"/>
      <c r="G17" s="179"/>
    </row>
    <row r="18" spans="1:10" s="77" customFormat="1" ht="15" customHeight="1">
      <c r="A18" s="194" t="s">
        <v>212</v>
      </c>
      <c r="B18" s="194"/>
      <c r="C18" s="194"/>
      <c r="D18" s="195"/>
      <c r="E18" s="195"/>
      <c r="F18" s="195"/>
      <c r="G18" s="195"/>
    </row>
    <row r="19" spans="1:10" s="77" customFormat="1" ht="9" customHeight="1">
      <c r="B19" s="81"/>
      <c r="C19" s="81"/>
      <c r="D19" s="81"/>
      <c r="E19" s="81"/>
      <c r="F19" s="81"/>
      <c r="G19" s="81"/>
    </row>
    <row r="20" spans="1:10" s="77" customFormat="1" ht="15" customHeight="1">
      <c r="A20" s="194" t="s">
        <v>210</v>
      </c>
      <c r="B20" s="194"/>
      <c r="C20" s="194"/>
      <c r="D20" s="195"/>
      <c r="E20" s="195"/>
      <c r="F20" s="195"/>
      <c r="G20" s="195"/>
    </row>
    <row r="21" spans="1:10" s="77" customFormat="1" ht="9" customHeight="1">
      <c r="B21" s="81"/>
      <c r="C21" s="81"/>
      <c r="D21" s="81"/>
      <c r="E21" s="81"/>
      <c r="F21" s="81"/>
      <c r="G21" s="81"/>
    </row>
    <row r="22" spans="1:10" ht="30" customHeight="1">
      <c r="A22" s="187" t="s">
        <v>211</v>
      </c>
      <c r="B22" s="187"/>
      <c r="C22" s="187"/>
      <c r="D22" s="187"/>
      <c r="E22" s="187"/>
      <c r="F22" s="187"/>
      <c r="G22" s="187"/>
    </row>
    <row r="23" spans="1:10" ht="9.9499999999999993" customHeight="1">
      <c r="A23" s="82"/>
      <c r="B23" s="82"/>
      <c r="C23" s="82"/>
      <c r="D23" s="82"/>
      <c r="E23" s="82"/>
      <c r="F23" s="82"/>
      <c r="G23" s="82"/>
    </row>
    <row r="24" spans="1:10" ht="15" customHeight="1">
      <c r="A24" s="188" t="s">
        <v>216</v>
      </c>
      <c r="B24" s="188"/>
      <c r="C24" s="188"/>
      <c r="D24" s="188"/>
      <c r="E24" s="188"/>
      <c r="F24" s="188"/>
      <c r="G24" s="188"/>
    </row>
    <row r="25" spans="1:10" ht="9.9499999999999993" customHeight="1">
      <c r="A25" s="82"/>
      <c r="B25" s="82"/>
      <c r="C25" s="82"/>
      <c r="D25" s="82"/>
      <c r="E25" s="82"/>
      <c r="F25" s="82"/>
      <c r="G25" s="82"/>
    </row>
    <row r="26" spans="1:10" ht="15" customHeight="1">
      <c r="A26" s="178" t="s">
        <v>88</v>
      </c>
      <c r="E26" s="83"/>
      <c r="F26" s="84"/>
      <c r="G26" s="84"/>
    </row>
    <row r="27" spans="1:10" ht="15" customHeight="1">
      <c r="A27" s="178" t="s">
        <v>196</v>
      </c>
      <c r="E27" s="85"/>
      <c r="F27" s="86"/>
      <c r="G27" s="84"/>
    </row>
    <row r="28" spans="1:10" ht="15" customHeight="1">
      <c r="A28" s="178" t="s">
        <v>138</v>
      </c>
      <c r="E28" s="87">
        <v>0.435</v>
      </c>
      <c r="G28" s="84"/>
      <c r="H28" s="86"/>
    </row>
    <row r="29" spans="1:10" ht="15" customHeight="1">
      <c r="A29" s="178" t="s">
        <v>197</v>
      </c>
      <c r="E29" s="88">
        <f>+((E32+1)*E30)/(E31)</f>
        <v>0.54999999999999993</v>
      </c>
      <c r="J29" s="89"/>
    </row>
    <row r="30" spans="1:10" ht="15" customHeight="1">
      <c r="A30" s="178" t="s">
        <v>198</v>
      </c>
      <c r="E30" s="118">
        <v>0.02</v>
      </c>
      <c r="F30" s="178" t="s">
        <v>54</v>
      </c>
      <c r="H30" s="84"/>
    </row>
    <row r="31" spans="1:10" ht="15" customHeight="1">
      <c r="A31" s="178" t="s">
        <v>141</v>
      </c>
      <c r="E31" s="117">
        <v>0.4</v>
      </c>
      <c r="F31" s="178" t="s">
        <v>54</v>
      </c>
      <c r="H31" s="86"/>
    </row>
    <row r="32" spans="1:10" ht="15" customHeight="1">
      <c r="A32" s="178" t="s">
        <v>199</v>
      </c>
      <c r="E32" s="116">
        <v>10</v>
      </c>
      <c r="F32" s="178" t="s">
        <v>87</v>
      </c>
      <c r="H32" s="88"/>
    </row>
    <row r="33" spans="1:9" ht="15" customHeight="1">
      <c r="A33" s="178" t="s">
        <v>314</v>
      </c>
      <c r="C33" s="84"/>
      <c r="D33" s="84"/>
      <c r="E33" s="118">
        <f>0.0254*(3/8)</f>
        <v>9.5249999999999987E-3</v>
      </c>
      <c r="F33" s="178" t="s">
        <v>54</v>
      </c>
    </row>
    <row r="34" spans="1:9" ht="15" customHeight="1">
      <c r="A34" s="178" t="s">
        <v>160</v>
      </c>
      <c r="C34" s="84"/>
      <c r="D34" s="84"/>
      <c r="E34" s="117">
        <v>0.28000000000000003</v>
      </c>
      <c r="F34" s="178" t="s">
        <v>54</v>
      </c>
    </row>
    <row r="35" spans="1:9" ht="15" customHeight="1">
      <c r="A35" s="178" t="s">
        <v>143</v>
      </c>
      <c r="C35" s="84"/>
      <c r="E35" s="178">
        <v>9.81</v>
      </c>
      <c r="F35" s="178" t="s">
        <v>200</v>
      </c>
    </row>
    <row r="36" spans="1:9" ht="15" customHeight="1">
      <c r="A36" s="178" t="s">
        <v>144</v>
      </c>
      <c r="C36" s="84"/>
      <c r="E36" s="178">
        <v>1.56</v>
      </c>
    </row>
    <row r="37" spans="1:9" ht="9.9499999999999993" customHeight="1">
      <c r="C37" s="84"/>
    </row>
    <row r="38" spans="1:9" ht="15" customHeight="1">
      <c r="C38" s="112" t="s">
        <v>201</v>
      </c>
      <c r="D38" s="114">
        <f>ROUND(((((E28*E29*(E34^(2/3))*((2*E35)^(0.5))*E31)/(E36^(1/3)))^(3/2))*1000),1)</f>
        <v>61.9</v>
      </c>
      <c r="E38" s="113" t="s">
        <v>129</v>
      </c>
      <c r="F38" s="93"/>
      <c r="G38" s="93"/>
      <c r="H38" s="93"/>
      <c r="I38" s="93"/>
    </row>
    <row r="39" spans="1:9" ht="9.9499999999999993" customHeight="1">
      <c r="C39" s="84"/>
    </row>
    <row r="40" spans="1:9" ht="30" customHeight="1">
      <c r="A40" s="187" t="str">
        <f>+CONCATENATE("De acuerdo con lo anterior, la rejilla según las consideraciones hidráulicas teóricas usadas para el presente proyecto, tiene una capacidad máxima de captación de ",D38,"L/s.")</f>
        <v>De acuerdo con lo anterior, la rejilla según las consideraciones hidráulicas teóricas usadas para el presente proyecto, tiene una capacidad máxima de captación de 61,9L/s.</v>
      </c>
      <c r="B40" s="187"/>
      <c r="C40" s="187"/>
      <c r="D40" s="187"/>
      <c r="E40" s="187"/>
      <c r="F40" s="187"/>
      <c r="G40" s="187"/>
    </row>
    <row r="41" spans="1:9" ht="9.9499999999999993" customHeight="1">
      <c r="C41" s="84"/>
    </row>
    <row r="42" spans="1:9" s="77" customFormat="1" ht="15" customHeight="1">
      <c r="A42" s="194" t="s">
        <v>315</v>
      </c>
      <c r="B42" s="194"/>
      <c r="C42" s="194"/>
      <c r="D42" s="195"/>
      <c r="E42" s="195"/>
      <c r="F42" s="195"/>
      <c r="G42" s="195"/>
    </row>
    <row r="43" spans="1:9" s="77" customFormat="1" ht="9" customHeight="1">
      <c r="B43" s="81"/>
      <c r="C43" s="81"/>
      <c r="D43" s="81"/>
      <c r="E43" s="81"/>
      <c r="F43" s="81"/>
      <c r="G43" s="81"/>
    </row>
    <row r="44" spans="1:9" s="77" customFormat="1" ht="45" customHeight="1">
      <c r="A44" s="187" t="s">
        <v>116</v>
      </c>
      <c r="B44" s="187"/>
      <c r="C44" s="187"/>
      <c r="D44" s="187"/>
      <c r="E44" s="187"/>
      <c r="F44" s="187"/>
      <c r="G44" s="187"/>
    </row>
    <row r="45" spans="1:9" s="77" customFormat="1" ht="9.9499999999999993" customHeight="1">
      <c r="A45" s="86"/>
      <c r="B45" s="81"/>
      <c r="C45" s="81"/>
      <c r="D45" s="81"/>
      <c r="E45" s="81"/>
      <c r="F45" s="81"/>
      <c r="G45" s="81"/>
    </row>
    <row r="46" spans="1:9" s="77" customFormat="1" ht="15" customHeight="1">
      <c r="A46" s="188" t="s">
        <v>214</v>
      </c>
      <c r="B46" s="188"/>
      <c r="C46" s="188"/>
      <c r="D46" s="188"/>
      <c r="E46" s="188"/>
      <c r="F46" s="188"/>
      <c r="G46" s="188"/>
    </row>
    <row r="47" spans="1:9" s="77" customFormat="1" ht="9.9499999999999993" customHeight="1">
      <c r="A47" s="187"/>
      <c r="B47" s="187"/>
      <c r="C47" s="187"/>
      <c r="D47" s="187"/>
      <c r="E47" s="187"/>
      <c r="F47" s="187"/>
      <c r="G47" s="187"/>
    </row>
    <row r="48" spans="1:9" s="77" customFormat="1" ht="15" customHeight="1">
      <c r="A48" s="178" t="s">
        <v>88</v>
      </c>
      <c r="B48" s="81"/>
      <c r="C48" s="81"/>
      <c r="D48" s="81"/>
      <c r="E48" s="81"/>
      <c r="F48" s="81"/>
      <c r="G48" s="81"/>
    </row>
    <row r="49" spans="1:7" s="77" customFormat="1" ht="15" customHeight="1">
      <c r="A49" s="178" t="s">
        <v>202</v>
      </c>
      <c r="B49" s="81"/>
      <c r="C49" s="81"/>
      <c r="D49" s="95">
        <f>+D38/1000</f>
        <v>6.1899999999999997E-2</v>
      </c>
      <c r="E49" s="86" t="s">
        <v>217</v>
      </c>
      <c r="F49" s="86"/>
      <c r="G49" s="86"/>
    </row>
    <row r="50" spans="1:7" s="77" customFormat="1" ht="15" customHeight="1">
      <c r="A50" s="178" t="s">
        <v>57</v>
      </c>
      <c r="B50" s="81"/>
      <c r="C50" s="81"/>
      <c r="D50" s="96">
        <v>0.4</v>
      </c>
      <c r="E50" s="86" t="s">
        <v>54</v>
      </c>
      <c r="F50" s="86"/>
      <c r="G50" s="86"/>
    </row>
    <row r="51" spans="1:7" s="77" customFormat="1" ht="15" customHeight="1">
      <c r="A51" s="178" t="s">
        <v>204</v>
      </c>
      <c r="B51" s="81"/>
      <c r="C51" s="81"/>
      <c r="D51" s="97">
        <f>+(D49/(1.84*D50))^(2/3)</f>
        <v>0.19195903430923308</v>
      </c>
      <c r="E51" s="94" t="s">
        <v>54</v>
      </c>
      <c r="F51" s="86"/>
      <c r="G51" s="86"/>
    </row>
    <row r="52" spans="1:7" s="77" customFormat="1" ht="9.9499999999999993" customHeight="1">
      <c r="A52" s="178"/>
      <c r="B52" s="81"/>
      <c r="C52" s="81"/>
      <c r="D52" s="97"/>
      <c r="E52" s="94"/>
      <c r="F52" s="86"/>
      <c r="G52" s="86"/>
    </row>
    <row r="53" spans="1:7" s="77" customFormat="1" ht="45" customHeight="1">
      <c r="A53" s="191" t="str">
        <f>+CONCATENATE("Lo anterior indica que para que por el vertedero central circule el caudal máximo de captación teórico tanto de la rejilla como del vertedero existente, es necesario contar con una lamina de agua sobre dicho vertedero igual a ",ROUND((D51),2),"m.")</f>
        <v>Lo anterior indica que para que por el vertedero central circule el caudal máximo de captación teórico tanto de la rejilla como del vertedero existente, es necesario contar con una lamina de agua sobre dicho vertedero igual a 0,19m.</v>
      </c>
      <c r="B53" s="191"/>
      <c r="C53" s="191"/>
      <c r="D53" s="191"/>
      <c r="E53" s="191"/>
      <c r="F53" s="191"/>
      <c r="G53" s="191"/>
    </row>
    <row r="54" spans="1:7" s="77" customFormat="1" ht="9.9499999999999993" customHeight="1">
      <c r="A54" s="179"/>
      <c r="B54" s="179"/>
      <c r="C54" s="179"/>
      <c r="D54" s="179"/>
      <c r="E54" s="179"/>
      <c r="F54" s="179"/>
      <c r="G54" s="179"/>
    </row>
    <row r="55" spans="1:7" s="77" customFormat="1" ht="54.95" customHeight="1">
      <c r="A55" s="191" t="s">
        <v>316</v>
      </c>
      <c r="B55" s="191"/>
      <c r="C55" s="191"/>
      <c r="D55" s="191"/>
      <c r="E55" s="191"/>
      <c r="F55" s="191"/>
      <c r="G55" s="191"/>
    </row>
    <row r="56" spans="1:7" s="77" customFormat="1" ht="9.9499999999999993" customHeight="1">
      <c r="A56" s="179"/>
      <c r="B56" s="179"/>
      <c r="C56" s="179"/>
      <c r="D56" s="179"/>
      <c r="E56" s="179"/>
      <c r="F56" s="179"/>
      <c r="G56" s="179"/>
    </row>
    <row r="57" spans="1:7" s="77" customFormat="1" ht="15" customHeight="1">
      <c r="A57" s="188" t="s">
        <v>215</v>
      </c>
      <c r="B57" s="188"/>
      <c r="C57" s="188"/>
      <c r="D57" s="188"/>
      <c r="E57" s="188"/>
      <c r="F57" s="188"/>
      <c r="G57" s="188"/>
    </row>
    <row r="58" spans="1:7" s="77" customFormat="1" ht="9.9499999999999993" customHeight="1">
      <c r="A58" s="81"/>
      <c r="B58" s="81"/>
      <c r="C58" s="81"/>
      <c r="D58" s="81"/>
      <c r="E58" s="81"/>
      <c r="F58" s="81"/>
      <c r="G58" s="81"/>
    </row>
    <row r="59" spans="1:7" s="77" customFormat="1" ht="15" customHeight="1">
      <c r="A59" s="178" t="s">
        <v>88</v>
      </c>
      <c r="B59" s="81"/>
      <c r="C59" s="81"/>
      <c r="D59" s="81"/>
      <c r="E59" s="81"/>
      <c r="F59" s="81"/>
      <c r="G59" s="81"/>
    </row>
    <row r="60" spans="1:7" s="77" customFormat="1" ht="15" customHeight="1">
      <c r="A60" s="192" t="s">
        <v>165</v>
      </c>
      <c r="B60" s="192"/>
      <c r="C60" s="192"/>
      <c r="D60" s="120">
        <v>0.18</v>
      </c>
      <c r="E60" s="86" t="s">
        <v>54</v>
      </c>
      <c r="F60" s="86"/>
      <c r="G60" s="86"/>
    </row>
    <row r="61" spans="1:7" s="77" customFormat="1" ht="15" customHeight="1">
      <c r="A61" s="192" t="s">
        <v>164</v>
      </c>
      <c r="B61" s="192"/>
      <c r="C61" s="192"/>
      <c r="D61" s="96">
        <f>+D50</f>
        <v>0.4</v>
      </c>
      <c r="E61" s="86" t="s">
        <v>54</v>
      </c>
      <c r="F61" s="86"/>
      <c r="G61" s="86"/>
    </row>
    <row r="62" spans="1:7" ht="15" customHeight="1">
      <c r="A62" s="192" t="s">
        <v>227</v>
      </c>
      <c r="B62" s="192"/>
      <c r="C62" s="192"/>
      <c r="D62" s="95">
        <f>(1.834*D61*(D60^(3/2)))</f>
        <v>5.602322174527273E-2</v>
      </c>
      <c r="E62" s="86" t="s">
        <v>203</v>
      </c>
      <c r="F62" s="86"/>
      <c r="G62" s="86"/>
    </row>
    <row r="63" spans="1:7" s="77" customFormat="1" ht="15" customHeight="1">
      <c r="A63" s="192" t="s">
        <v>205</v>
      </c>
      <c r="B63" s="192"/>
      <c r="C63" s="192"/>
      <c r="D63" s="119">
        <f>ROUND((D62*1000),1)</f>
        <v>56</v>
      </c>
      <c r="E63" s="94" t="s">
        <v>129</v>
      </c>
      <c r="F63" s="86"/>
      <c r="G63" s="86"/>
    </row>
    <row r="64" spans="1:7" s="77" customFormat="1" ht="9.9499999999999993" customHeight="1">
      <c r="A64" s="178"/>
      <c r="B64" s="178"/>
      <c r="C64" s="178"/>
      <c r="D64" s="119"/>
      <c r="E64" s="94"/>
      <c r="F64" s="86"/>
      <c r="G64" s="86"/>
    </row>
    <row r="65" spans="1:7" ht="30" customHeight="1">
      <c r="A65" s="187" t="str">
        <f>+CONCATENATE("De acuerdo con lo anterior, el vertedero central existente según las consideraciones hidráulicas teóricas usadas para el presente proyecto, tiene una capacidad máxima de captación de ",D63,"L/s.")</f>
        <v>De acuerdo con lo anterior, el vertedero central existente según las consideraciones hidráulicas teóricas usadas para el presente proyecto, tiene una capacidad máxima de captación de 56L/s.</v>
      </c>
      <c r="B65" s="187"/>
      <c r="C65" s="187"/>
      <c r="D65" s="187"/>
      <c r="E65" s="187"/>
      <c r="F65" s="187"/>
      <c r="G65" s="187"/>
    </row>
    <row r="66" spans="1:7" ht="9.9499999999999993" customHeight="1">
      <c r="C66" s="84"/>
    </row>
    <row r="67" spans="1:7" s="77" customFormat="1" ht="15" customHeight="1">
      <c r="A67" s="194" t="s">
        <v>313</v>
      </c>
      <c r="B67" s="194"/>
      <c r="C67" s="194"/>
      <c r="D67" s="195"/>
      <c r="E67" s="195"/>
      <c r="F67" s="195"/>
      <c r="G67" s="195"/>
    </row>
    <row r="68" spans="1:7" s="77" customFormat="1" ht="9" customHeight="1">
      <c r="B68" s="81"/>
      <c r="C68" s="81"/>
      <c r="D68" s="81"/>
      <c r="E68" s="81"/>
      <c r="F68" s="81"/>
      <c r="G68" s="81"/>
    </row>
    <row r="69" spans="1:7" s="77" customFormat="1" ht="42" customHeight="1">
      <c r="A69" s="187" t="s">
        <v>319</v>
      </c>
      <c r="B69" s="187"/>
      <c r="C69" s="187"/>
      <c r="D69" s="187"/>
      <c r="E69" s="187"/>
      <c r="F69" s="187"/>
      <c r="G69" s="187"/>
    </row>
    <row r="70" spans="1:7" s="77" customFormat="1" ht="15" customHeight="1">
      <c r="A70" s="177"/>
      <c r="B70" s="177"/>
      <c r="C70" s="177"/>
      <c r="D70" s="177"/>
      <c r="E70" s="177"/>
      <c r="F70" s="177"/>
      <c r="G70" s="177"/>
    </row>
    <row r="71" spans="1:7" s="77" customFormat="1" ht="15.75" customHeight="1">
      <c r="A71" s="188" t="s">
        <v>215</v>
      </c>
      <c r="B71" s="188"/>
      <c r="C71" s="188"/>
      <c r="D71" s="188"/>
      <c r="E71" s="188"/>
      <c r="F71" s="188"/>
      <c r="G71" s="188"/>
    </row>
    <row r="72" spans="1:7" s="77" customFormat="1" ht="15.75" customHeight="1">
      <c r="A72" s="81"/>
      <c r="B72" s="81"/>
      <c r="C72" s="81"/>
      <c r="D72" s="81"/>
      <c r="E72" s="81"/>
      <c r="F72" s="81"/>
      <c r="G72" s="81"/>
    </row>
    <row r="73" spans="1:7" s="77" customFormat="1" ht="18" customHeight="1">
      <c r="A73" s="90" t="s">
        <v>88</v>
      </c>
      <c r="B73" s="100"/>
      <c r="C73" s="100"/>
      <c r="D73" s="100"/>
      <c r="E73" s="100"/>
      <c r="F73" s="81"/>
      <c r="G73" s="81"/>
    </row>
    <row r="74" spans="1:7" ht="15.75" customHeight="1">
      <c r="A74" s="199" t="s">
        <v>165</v>
      </c>
      <c r="B74" s="199"/>
      <c r="C74" s="199"/>
      <c r="D74" s="163">
        <v>0.01</v>
      </c>
      <c r="E74" s="106" t="s">
        <v>54</v>
      </c>
      <c r="F74" s="86"/>
      <c r="G74" s="86"/>
    </row>
    <row r="75" spans="1:7" s="77" customFormat="1" ht="15" customHeight="1">
      <c r="A75" s="199" t="s">
        <v>164</v>
      </c>
      <c r="B75" s="199"/>
      <c r="C75" s="199"/>
      <c r="D75" s="182">
        <f>1.4</f>
        <v>1.4</v>
      </c>
      <c r="E75" s="106" t="s">
        <v>54</v>
      </c>
      <c r="F75" s="86"/>
      <c r="G75" s="86"/>
    </row>
    <row r="76" spans="1:7" s="77" customFormat="1" ht="16.5" customHeight="1">
      <c r="A76" s="199" t="s">
        <v>227</v>
      </c>
      <c r="B76" s="199"/>
      <c r="C76" s="199"/>
      <c r="D76" s="161">
        <f>(1.834*D75*(D74^(3/2)))</f>
        <v>2.5676000000000006E-3</v>
      </c>
      <c r="E76" s="106" t="s">
        <v>203</v>
      </c>
      <c r="F76" s="86"/>
      <c r="G76" s="86"/>
    </row>
    <row r="77" spans="1:7" s="90" customFormat="1" ht="18" customHeight="1">
      <c r="A77" s="199" t="s">
        <v>205</v>
      </c>
      <c r="B77" s="199"/>
      <c r="C77" s="199"/>
      <c r="D77" s="183">
        <f>ROUND((D76*1000),1)</f>
        <v>2.6</v>
      </c>
      <c r="E77" s="184" t="s">
        <v>129</v>
      </c>
      <c r="F77" s="86"/>
      <c r="G77" s="86"/>
    </row>
    <row r="78" spans="1:7" s="90" customFormat="1" ht="17.25" customHeight="1">
      <c r="A78" s="177"/>
      <c r="B78" s="177"/>
      <c r="C78" s="177"/>
      <c r="D78" s="177"/>
      <c r="E78" s="177"/>
      <c r="F78" s="177"/>
      <c r="G78" s="177"/>
    </row>
    <row r="79" spans="1:7" s="90" customFormat="1" ht="15" customHeight="1">
      <c r="A79" s="178"/>
      <c r="B79" s="178"/>
      <c r="C79" s="84"/>
      <c r="D79" s="178"/>
      <c r="E79" s="178"/>
      <c r="F79" s="178"/>
      <c r="G79" s="178"/>
    </row>
    <row r="80" spans="1:7" s="90" customFormat="1" ht="15" hidden="1" customHeight="1">
      <c r="A80" s="194" t="s">
        <v>218</v>
      </c>
      <c r="B80" s="194"/>
      <c r="C80" s="194"/>
      <c r="D80" s="194"/>
      <c r="E80" s="194"/>
      <c r="F80" s="194"/>
      <c r="G80" s="194"/>
    </row>
    <row r="81" spans="1:13" s="90" customFormat="1" ht="15" hidden="1" customHeight="1">
      <c r="A81" s="77"/>
      <c r="B81" s="176"/>
      <c r="C81" s="176"/>
      <c r="D81" s="176"/>
      <c r="E81" s="176"/>
      <c r="F81" s="176"/>
      <c r="G81" s="176"/>
    </row>
    <row r="82" spans="1:13" s="90" customFormat="1" ht="55.5" hidden="1" customHeight="1">
      <c r="A82" s="193" t="s">
        <v>317</v>
      </c>
      <c r="B82" s="193"/>
      <c r="C82" s="193"/>
      <c r="D82" s="193"/>
      <c r="E82" s="193"/>
      <c r="F82" s="193"/>
      <c r="G82" s="193"/>
    </row>
    <row r="83" spans="1:13" s="90" customFormat="1" ht="15" hidden="1" customHeight="1">
      <c r="G83" s="102"/>
    </row>
    <row r="84" spans="1:13" s="90" customFormat="1" ht="15" hidden="1" customHeight="1">
      <c r="A84" s="190" t="s">
        <v>228</v>
      </c>
      <c r="B84" s="196"/>
      <c r="C84" s="196"/>
      <c r="D84" s="196"/>
      <c r="E84" s="196"/>
      <c r="F84" s="196"/>
      <c r="G84" s="196"/>
      <c r="J84" s="121"/>
      <c r="K84" s="121"/>
      <c r="L84" s="121"/>
      <c r="M84" s="121"/>
    </row>
    <row r="85" spans="1:13" s="90" customFormat="1" ht="15" hidden="1" customHeight="1">
      <c r="A85" s="100"/>
      <c r="B85" s="103"/>
      <c r="C85" s="103"/>
      <c r="D85" s="103"/>
      <c r="E85" s="103"/>
      <c r="F85" s="103"/>
      <c r="G85" s="104"/>
      <c r="J85" s="121"/>
      <c r="K85" s="121"/>
      <c r="L85" s="122"/>
      <c r="M85" s="123"/>
    </row>
    <row r="86" spans="1:13" s="90" customFormat="1" ht="15" hidden="1" customHeight="1">
      <c r="A86" s="90" t="s">
        <v>88</v>
      </c>
      <c r="B86" s="92"/>
      <c r="C86" s="105"/>
      <c r="J86" s="121"/>
      <c r="K86" s="121"/>
      <c r="L86" s="122"/>
      <c r="M86" s="123"/>
    </row>
    <row r="87" spans="1:13" s="90" customFormat="1" ht="15" hidden="1" customHeight="1">
      <c r="A87" s="90" t="s">
        <v>225</v>
      </c>
      <c r="C87" s="87"/>
      <c r="J87" s="121"/>
      <c r="K87" s="121"/>
      <c r="L87" s="122"/>
      <c r="M87" s="123"/>
    </row>
    <row r="88" spans="1:13" s="90" customFormat="1" ht="15" hidden="1" customHeight="1">
      <c r="A88" s="90" t="s">
        <v>145</v>
      </c>
      <c r="C88" s="87"/>
      <c r="D88" s="87" t="s">
        <v>146</v>
      </c>
      <c r="E88" s="90">
        <v>1.0999999999999999E-2</v>
      </c>
      <c r="F88" s="90" t="s">
        <v>166</v>
      </c>
      <c r="J88" s="121"/>
      <c r="K88" s="121"/>
      <c r="L88" s="122"/>
      <c r="M88" s="123"/>
    </row>
    <row r="89" spans="1:13" s="90" customFormat="1" ht="15" hidden="1" customHeight="1">
      <c r="A89" s="90" t="s">
        <v>170</v>
      </c>
      <c r="C89" s="87"/>
      <c r="D89" s="87" t="s">
        <v>99</v>
      </c>
      <c r="E89" s="115">
        <v>4</v>
      </c>
      <c r="F89" s="90" t="s">
        <v>115</v>
      </c>
    </row>
    <row r="90" spans="1:13" s="90" customFormat="1" ht="9.9499999999999993" hidden="1" customHeight="1">
      <c r="A90" s="90" t="s">
        <v>170</v>
      </c>
      <c r="C90" s="87"/>
      <c r="D90" s="87" t="s">
        <v>99</v>
      </c>
      <c r="E90" s="92">
        <f>E89*0.0254</f>
        <v>0.1016</v>
      </c>
      <c r="F90" s="90" t="s">
        <v>54</v>
      </c>
    </row>
    <row r="91" spans="1:13" s="90" customFormat="1" ht="15" hidden="1" customHeight="1">
      <c r="A91" s="90" t="s">
        <v>169</v>
      </c>
      <c r="C91" s="87"/>
      <c r="D91" s="87" t="s">
        <v>63</v>
      </c>
      <c r="E91" s="91">
        <f>(PI()*E90^2)/4</f>
        <v>8.107319665559963E-3</v>
      </c>
      <c r="F91" s="90" t="s">
        <v>206</v>
      </c>
    </row>
    <row r="92" spans="1:13" s="77" customFormat="1" ht="16.5" hidden="1" customHeight="1">
      <c r="A92" s="106" t="s">
        <v>207</v>
      </c>
      <c r="B92" s="90"/>
      <c r="C92" s="87"/>
      <c r="D92" s="87" t="s">
        <v>208</v>
      </c>
      <c r="E92" s="91">
        <f>E90/4</f>
        <v>2.5399999999999999E-2</v>
      </c>
      <c r="F92" s="90" t="s">
        <v>54</v>
      </c>
      <c r="G92" s="90"/>
    </row>
    <row r="93" spans="1:13" ht="18.75" hidden="1" customHeight="1">
      <c r="A93" s="106" t="s">
        <v>220</v>
      </c>
      <c r="B93" s="90"/>
      <c r="C93" s="87"/>
      <c r="D93" s="87" t="s">
        <v>219</v>
      </c>
      <c r="E93" s="117">
        <f>0.22+0.42</f>
        <v>0.64</v>
      </c>
      <c r="F93" s="90" t="s">
        <v>54</v>
      </c>
      <c r="G93" s="90"/>
    </row>
    <row r="94" spans="1:13" ht="9.9499999999999993" hidden="1" customHeight="1">
      <c r="A94" s="106" t="s">
        <v>221</v>
      </c>
      <c r="B94" s="90"/>
      <c r="C94" s="87"/>
      <c r="D94" s="87" t="s">
        <v>222</v>
      </c>
      <c r="E94" s="117">
        <f>0.74-0.05</f>
        <v>0.69</v>
      </c>
      <c r="F94" s="90" t="s">
        <v>54</v>
      </c>
      <c r="G94" s="90"/>
    </row>
    <row r="95" spans="1:13" s="101" customFormat="1" ht="15" hidden="1" customHeight="1">
      <c r="A95" s="106" t="s">
        <v>223</v>
      </c>
      <c r="B95" s="90"/>
      <c r="C95" s="87"/>
      <c r="D95" s="87" t="s">
        <v>224</v>
      </c>
      <c r="E95" s="117">
        <f>3.65+0.2+0.05</f>
        <v>3.9</v>
      </c>
      <c r="F95" s="90" t="s">
        <v>54</v>
      </c>
      <c r="G95" s="90"/>
    </row>
    <row r="96" spans="1:13" s="77" customFormat="1" ht="9.9499999999999993" hidden="1" customHeight="1">
      <c r="A96" s="90" t="s">
        <v>147</v>
      </c>
      <c r="B96" s="91"/>
      <c r="C96" s="90"/>
      <c r="D96" s="87" t="s">
        <v>148</v>
      </c>
      <c r="E96" s="91">
        <f>+(E94-E93)/E95</f>
        <v>1.2820512820512804E-2</v>
      </c>
      <c r="F96" s="90" t="s">
        <v>149</v>
      </c>
      <c r="G96" s="90"/>
    </row>
    <row r="97" spans="1:7" s="101" customFormat="1" ht="54.95" hidden="1" customHeight="1">
      <c r="A97" s="90"/>
      <c r="B97" s="91"/>
      <c r="C97" s="90"/>
      <c r="D97" s="87"/>
      <c r="E97" s="90"/>
      <c r="F97" s="90"/>
      <c r="G97" s="90"/>
    </row>
    <row r="98" spans="1:7" s="90" customFormat="1" ht="9.9499999999999993" hidden="1" customHeight="1">
      <c r="C98" s="107" t="s">
        <v>226</v>
      </c>
      <c r="D98" s="114">
        <f>ROUND((1000*(1/E88)*E91*(E92^(2/3))*(E96^(0.5))),1)</f>
        <v>7.2</v>
      </c>
      <c r="E98" s="108" t="s">
        <v>129</v>
      </c>
    </row>
    <row r="99" spans="1:7" s="90" customFormat="1" ht="15" hidden="1" customHeight="1">
      <c r="A99" s="178"/>
      <c r="B99" s="178"/>
      <c r="C99" s="178"/>
      <c r="D99" s="119"/>
      <c r="E99" s="94"/>
      <c r="F99" s="86"/>
      <c r="G99" s="86"/>
    </row>
    <row r="100" spans="1:7" s="90" customFormat="1" ht="9.9499999999999993" hidden="1" customHeight="1">
      <c r="A100" s="187" t="str">
        <f>+CONCATENATE("De acuerdo con lo anterior, la tubería de derivación existente, según las consideraciones hidráulicas teóricas usadas para el presente proyecto, tiene una capacidad máxima de transporte de ",D98,"L/s.")</f>
        <v>De acuerdo con lo anterior, la tubería de derivación existente, según las consideraciones hidráulicas teóricas usadas para el presente proyecto, tiene una capacidad máxima de transporte de 7,2L/s.</v>
      </c>
      <c r="B100" s="187"/>
      <c r="C100" s="187"/>
      <c r="D100" s="187"/>
      <c r="E100" s="187"/>
      <c r="F100" s="187"/>
      <c r="G100" s="187"/>
    </row>
    <row r="101" spans="1:7" s="90" customFormat="1" ht="15" hidden="1" customHeight="1">
      <c r="A101" s="178"/>
      <c r="B101" s="178"/>
      <c r="C101" s="84"/>
      <c r="D101" s="178"/>
      <c r="E101" s="178"/>
      <c r="F101" s="178"/>
      <c r="G101" s="178"/>
    </row>
    <row r="102" spans="1:7" s="90" customFormat="1" ht="15" customHeight="1">
      <c r="A102" s="197" t="s">
        <v>334</v>
      </c>
      <c r="B102" s="197"/>
      <c r="C102" s="197"/>
      <c r="D102" s="198"/>
      <c r="E102" s="198"/>
      <c r="F102" s="198"/>
      <c r="G102" s="198"/>
    </row>
    <row r="103" spans="1:7" s="90" customFormat="1" ht="15" customHeight="1">
      <c r="A103" s="77"/>
      <c r="B103" s="81"/>
      <c r="C103" s="81"/>
      <c r="D103" s="81"/>
      <c r="E103" s="81"/>
      <c r="F103" s="81"/>
      <c r="G103" s="81"/>
    </row>
    <row r="104" spans="1:7" s="90" customFormat="1" ht="60" customHeight="1">
      <c r="A104" s="193" t="s">
        <v>318</v>
      </c>
      <c r="B104" s="193"/>
      <c r="C104" s="193"/>
      <c r="D104" s="193"/>
      <c r="E104" s="193"/>
      <c r="F104" s="193"/>
      <c r="G104" s="193"/>
    </row>
    <row r="105" spans="1:7" s="90" customFormat="1" ht="15" customHeight="1"/>
    <row r="106" spans="1:7" s="90" customFormat="1" ht="15" customHeight="1">
      <c r="A106" s="190" t="s">
        <v>232</v>
      </c>
      <c r="B106" s="190"/>
      <c r="C106" s="190"/>
      <c r="D106" s="190"/>
      <c r="E106" s="190"/>
      <c r="F106" s="190"/>
      <c r="G106" s="190"/>
    </row>
    <row r="107" spans="1:7" s="90" customFormat="1" ht="15" customHeight="1"/>
    <row r="108" spans="1:7" s="90" customFormat="1" ht="15" customHeight="1">
      <c r="A108" s="90" t="s">
        <v>88</v>
      </c>
      <c r="B108" s="92"/>
      <c r="C108" s="105"/>
    </row>
    <row r="109" spans="1:7" s="90" customFormat="1" ht="15.75" customHeight="1">
      <c r="A109" s="90" t="s">
        <v>229</v>
      </c>
      <c r="C109" s="87"/>
      <c r="D109" s="87"/>
      <c r="E109" s="111"/>
    </row>
    <row r="110" spans="1:7" s="90" customFormat="1" ht="15" customHeight="1">
      <c r="A110" s="90" t="s">
        <v>100</v>
      </c>
      <c r="C110" s="87"/>
      <c r="D110" s="87" t="s">
        <v>101</v>
      </c>
      <c r="E110" s="116">
        <v>0.61</v>
      </c>
    </row>
    <row r="111" spans="1:7" s="90" customFormat="1" ht="14.25" customHeight="1">
      <c r="A111" s="90" t="s">
        <v>98</v>
      </c>
      <c r="C111" s="87"/>
      <c r="D111" s="87" t="s">
        <v>99</v>
      </c>
      <c r="E111" s="115">
        <v>4</v>
      </c>
      <c r="F111" s="90" t="s">
        <v>115</v>
      </c>
      <c r="G111" s="91"/>
    </row>
    <row r="112" spans="1:7" ht="18" customHeight="1">
      <c r="A112" s="90" t="s">
        <v>98</v>
      </c>
      <c r="B112" s="90"/>
      <c r="C112" s="87"/>
      <c r="D112" s="87" t="s">
        <v>99</v>
      </c>
      <c r="E112" s="92">
        <f>E111*0.0254</f>
        <v>0.1016</v>
      </c>
      <c r="F112" s="90" t="s">
        <v>54</v>
      </c>
      <c r="G112" s="91"/>
    </row>
    <row r="113" spans="1:7" s="90" customFormat="1" ht="15" customHeight="1">
      <c r="A113" s="90" t="s">
        <v>127</v>
      </c>
      <c r="C113" s="87"/>
      <c r="D113" s="87" t="s">
        <v>63</v>
      </c>
      <c r="E113" s="91">
        <f>+(PI()/4)*(E112^2)</f>
        <v>8.107319665559963E-3</v>
      </c>
      <c r="F113" s="90" t="s">
        <v>206</v>
      </c>
      <c r="G113" s="91"/>
    </row>
    <row r="114" spans="1:7" s="90" customFormat="1" ht="15" customHeight="1">
      <c r="A114" s="90" t="s">
        <v>102</v>
      </c>
      <c r="C114" s="87"/>
      <c r="D114" s="87" t="s">
        <v>103</v>
      </c>
      <c r="E114" s="117">
        <v>0.18</v>
      </c>
      <c r="F114" s="90" t="s">
        <v>54</v>
      </c>
      <c r="G114" s="92"/>
    </row>
    <row r="115" spans="1:7" s="90" customFormat="1" ht="15.75" customHeight="1">
      <c r="A115" s="90" t="s">
        <v>104</v>
      </c>
      <c r="B115" s="91"/>
      <c r="D115" s="87" t="s">
        <v>105</v>
      </c>
      <c r="E115" s="92">
        <v>9.81</v>
      </c>
      <c r="F115" s="90" t="s">
        <v>200</v>
      </c>
      <c r="G115" s="92"/>
    </row>
    <row r="116" spans="1:7" s="90" customFormat="1" ht="45" customHeight="1">
      <c r="G116" s="91"/>
    </row>
    <row r="117" spans="1:7" ht="40.5" customHeight="1">
      <c r="A117" s="90"/>
      <c r="B117" s="90"/>
      <c r="C117" s="107" t="s">
        <v>230</v>
      </c>
      <c r="D117" s="114">
        <f>ROUND(((1000)*(E110*E113)*(((2*E115)*(E114^1.5))^0.5)),1)</f>
        <v>6.1</v>
      </c>
      <c r="E117" s="108" t="s">
        <v>129</v>
      </c>
      <c r="F117" s="90"/>
      <c r="G117" s="90"/>
    </row>
    <row r="118" spans="1:7" s="90" customFormat="1" ht="33.75" customHeight="1">
      <c r="A118" s="187" t="str">
        <f>+CONCATENATE("De acuerdo con lo anterior, la tubería de aducción existente, según las consideraciones hidráulicas teóricas usadas para el presente proyecto, tiene una capacidad máxima de transporte de ",D117,"L/s.")</f>
        <v>De acuerdo con lo anterior, la tubería de aducción existente, según las consideraciones hidráulicas teóricas usadas para el presente proyecto, tiene una capacidad máxima de transporte de 6,1L/s.</v>
      </c>
      <c r="B118" s="187"/>
      <c r="C118" s="187"/>
      <c r="D118" s="187"/>
      <c r="E118" s="187"/>
      <c r="F118" s="187"/>
      <c r="G118" s="187"/>
    </row>
    <row r="119" spans="1:7" ht="15" customHeight="1">
      <c r="A119" s="106"/>
      <c r="B119" s="110"/>
      <c r="C119" s="110"/>
      <c r="D119" s="110"/>
      <c r="E119" s="110"/>
      <c r="F119" s="110"/>
      <c r="G119" s="110"/>
    </row>
    <row r="120" spans="1:7" ht="15" customHeight="1">
      <c r="A120" s="101" t="s">
        <v>231</v>
      </c>
      <c r="B120" s="90"/>
      <c r="C120" s="90"/>
      <c r="D120" s="90"/>
      <c r="E120" s="90"/>
      <c r="F120" s="90"/>
      <c r="G120" s="90"/>
    </row>
    <row r="121" spans="1:7" ht="15" customHeight="1">
      <c r="A121" s="106"/>
      <c r="B121" s="110"/>
      <c r="C121" s="110"/>
      <c r="D121" s="110"/>
      <c r="E121" s="110"/>
      <c r="F121" s="110"/>
      <c r="G121" s="110"/>
    </row>
    <row r="122" spans="1:7" ht="30.75" customHeight="1">
      <c r="A122" s="193" t="s">
        <v>328</v>
      </c>
      <c r="B122" s="193"/>
      <c r="C122" s="193"/>
      <c r="D122" s="193"/>
      <c r="E122" s="193"/>
      <c r="F122" s="193"/>
      <c r="G122" s="193"/>
    </row>
    <row r="123" spans="1:7" ht="30" customHeight="1">
      <c r="A123" s="187" t="s">
        <v>331</v>
      </c>
      <c r="B123" s="187"/>
      <c r="C123" s="187"/>
      <c r="D123" s="187"/>
      <c r="E123" s="187"/>
      <c r="F123" s="187"/>
      <c r="G123" s="187"/>
    </row>
    <row r="124" spans="1:7">
      <c r="A124" s="90"/>
      <c r="B124" s="90"/>
      <c r="C124" s="90"/>
      <c r="D124" s="90"/>
      <c r="E124" s="90"/>
      <c r="F124" s="90"/>
      <c r="G124" s="90"/>
    </row>
    <row r="125" spans="1:7">
      <c r="A125" s="189" t="s">
        <v>235</v>
      </c>
      <c r="B125" s="189"/>
      <c r="C125" s="189"/>
      <c r="D125" s="189"/>
      <c r="E125" s="189"/>
      <c r="F125" s="189"/>
      <c r="G125" s="189"/>
    </row>
    <row r="126" spans="1:7">
      <c r="A126" s="189" t="s">
        <v>233</v>
      </c>
      <c r="B126" s="189"/>
      <c r="C126" s="189"/>
      <c r="D126" s="189"/>
      <c r="E126" s="189"/>
      <c r="F126" s="189"/>
      <c r="G126" s="189"/>
    </row>
    <row r="127" spans="1:7">
      <c r="A127" s="189" t="s">
        <v>234</v>
      </c>
      <c r="B127" s="189"/>
      <c r="C127" s="189"/>
      <c r="D127" s="189"/>
      <c r="E127" s="189"/>
      <c r="F127" s="189"/>
      <c r="G127" s="189"/>
    </row>
  </sheetData>
  <mergeCells count="48">
    <mergeCell ref="A2:A8"/>
    <mergeCell ref="B2:F2"/>
    <mergeCell ref="G2:G8"/>
    <mergeCell ref="B3:F6"/>
    <mergeCell ref="B7:C8"/>
    <mergeCell ref="D7:E8"/>
    <mergeCell ref="F7:F8"/>
    <mergeCell ref="A127:G127"/>
    <mergeCell ref="A84:G84"/>
    <mergeCell ref="A100:G100"/>
    <mergeCell ref="A102:G102"/>
    <mergeCell ref="A104:G104"/>
    <mergeCell ref="A106:G106"/>
    <mergeCell ref="A118:G118"/>
    <mergeCell ref="A122:G122"/>
    <mergeCell ref="A123:G123"/>
    <mergeCell ref="A125:G125"/>
    <mergeCell ref="A126:G126"/>
    <mergeCell ref="A82:G82"/>
    <mergeCell ref="A62:C62"/>
    <mergeCell ref="A63:C63"/>
    <mergeCell ref="A65:G65"/>
    <mergeCell ref="A67:G67"/>
    <mergeCell ref="A69:G69"/>
    <mergeCell ref="A71:G71"/>
    <mergeCell ref="A74:C74"/>
    <mergeCell ref="A75:C75"/>
    <mergeCell ref="A76:C76"/>
    <mergeCell ref="A77:C77"/>
    <mergeCell ref="A80:G80"/>
    <mergeCell ref="A61:C61"/>
    <mergeCell ref="A22:G22"/>
    <mergeCell ref="A24:G24"/>
    <mergeCell ref="A40:G40"/>
    <mergeCell ref="A42:G42"/>
    <mergeCell ref="A44:G44"/>
    <mergeCell ref="A46:G46"/>
    <mergeCell ref="A47:G47"/>
    <mergeCell ref="A53:G53"/>
    <mergeCell ref="A55:G55"/>
    <mergeCell ref="A57:G57"/>
    <mergeCell ref="A60:C60"/>
    <mergeCell ref="A20:G20"/>
    <mergeCell ref="A11:G11"/>
    <mergeCell ref="A13:G13"/>
    <mergeCell ref="A15:G15"/>
    <mergeCell ref="A16:G16"/>
    <mergeCell ref="A18:G18"/>
  </mergeCells>
  <printOptions horizontalCentered="1"/>
  <pageMargins left="0.19685039370078741" right="0.19685039370078741" top="0.59055118110236227" bottom="0.39370078740157483" header="0" footer="0.39370078740157483"/>
  <pageSetup scale="86" orientation="portrait" horizontalDpi="300" verticalDpi="300" r:id="rId1"/>
  <headerFooter alignWithMargins="0">
    <oddFooter>&amp;C&amp;"Calibri,Normal"&amp;8Página &amp;P de &amp;N</oddFooter>
  </headerFooter>
  <rowBreaks count="3" manualBreakCount="3">
    <brk id="40" max="6" man="1"/>
    <brk id="78" max="6" man="1"/>
    <brk id="106" max="6" man="1"/>
  </rowBreaks>
  <drawing r:id="rId2"/>
  <legacyDrawing r:id="rId3"/>
</worksheet>
</file>

<file path=xl/worksheets/sheet4.xml><?xml version="1.0" encoding="utf-8"?>
<worksheet xmlns="http://schemas.openxmlformats.org/spreadsheetml/2006/main" xmlns:r="http://schemas.openxmlformats.org/officeDocument/2006/relationships">
  <sheetPr>
    <tabColor theme="9" tint="-0.249977111117893"/>
  </sheetPr>
  <dimension ref="A1:AB100"/>
  <sheetViews>
    <sheetView view="pageBreakPreview" zoomScale="110" zoomScaleSheetLayoutView="110" workbookViewId="0">
      <selection activeCell="A36" sqref="A36:G36"/>
    </sheetView>
  </sheetViews>
  <sheetFormatPr baseColWidth="10" defaultRowHeight="12.75"/>
  <cols>
    <col min="1" max="1" width="24.7109375" style="75" customWidth="1"/>
    <col min="2" max="2" width="11.42578125" style="75"/>
    <col min="3" max="3" width="19" style="75" customWidth="1"/>
    <col min="4" max="4" width="10.42578125" style="75" customWidth="1"/>
    <col min="5" max="5" width="8.7109375" style="75" customWidth="1"/>
    <col min="6" max="6" width="14.5703125" style="75" customWidth="1"/>
    <col min="7" max="7" width="17.85546875" style="75" customWidth="1"/>
    <col min="8" max="16384" width="11.42578125" style="75"/>
  </cols>
  <sheetData>
    <row r="1" spans="1:28" ht="9.9499999999999993" customHeight="1"/>
    <row r="2" spans="1:28" ht="9.9499999999999993" customHeight="1">
      <c r="A2" s="200"/>
      <c r="B2" s="200" t="s">
        <v>320</v>
      </c>
      <c r="C2" s="200"/>
      <c r="D2" s="200"/>
      <c r="E2" s="200"/>
      <c r="F2" s="200"/>
      <c r="G2" s="200"/>
    </row>
    <row r="3" spans="1:28" ht="9.9499999999999993" customHeight="1">
      <c r="A3" s="200"/>
      <c r="B3" s="201" t="s">
        <v>322</v>
      </c>
      <c r="C3" s="201"/>
      <c r="D3" s="201"/>
      <c r="E3" s="201"/>
      <c r="F3" s="201"/>
      <c r="G3" s="200"/>
    </row>
    <row r="4" spans="1:28" ht="9.9499999999999993" customHeight="1">
      <c r="A4" s="200"/>
      <c r="B4" s="201"/>
      <c r="C4" s="201"/>
      <c r="D4" s="201"/>
      <c r="E4" s="201"/>
      <c r="F4" s="201"/>
      <c r="G4" s="200"/>
    </row>
    <row r="5" spans="1:28" ht="9.9499999999999993" customHeight="1">
      <c r="A5" s="200"/>
      <c r="B5" s="201"/>
      <c r="C5" s="201"/>
      <c r="D5" s="201"/>
      <c r="E5" s="201"/>
      <c r="F5" s="201"/>
      <c r="G5" s="200"/>
    </row>
    <row r="6" spans="1:28" ht="30" customHeight="1">
      <c r="A6" s="200"/>
      <c r="B6" s="201"/>
      <c r="C6" s="201"/>
      <c r="D6" s="201"/>
      <c r="E6" s="201"/>
      <c r="F6" s="201"/>
      <c r="G6" s="200"/>
    </row>
    <row r="7" spans="1:28" s="180" customFormat="1" ht="9.9499999999999993" customHeight="1">
      <c r="A7" s="200"/>
      <c r="B7" s="201" t="s">
        <v>323</v>
      </c>
      <c r="C7" s="201"/>
      <c r="D7" s="200" t="s">
        <v>332</v>
      </c>
      <c r="E7" s="200"/>
      <c r="F7" s="200" t="s">
        <v>321</v>
      </c>
      <c r="G7" s="200"/>
    </row>
    <row r="8" spans="1:28" s="180" customFormat="1" ht="18.75" customHeight="1">
      <c r="A8" s="200"/>
      <c r="B8" s="201"/>
      <c r="C8" s="201"/>
      <c r="D8" s="200"/>
      <c r="E8" s="200"/>
      <c r="F8" s="200"/>
      <c r="G8" s="200"/>
    </row>
    <row r="9" spans="1:28" s="180" customFormat="1" ht="9.9499999999999993" customHeight="1"/>
    <row r="10" spans="1:28" s="180" customFormat="1" ht="9.9499999999999993" customHeight="1"/>
    <row r="11" spans="1:28" ht="39.950000000000003" customHeight="1">
      <c r="A11" s="225" t="s">
        <v>337</v>
      </c>
      <c r="B11" s="226"/>
      <c r="C11" s="226"/>
      <c r="D11" s="226"/>
      <c r="E11" s="226"/>
      <c r="F11" s="226"/>
      <c r="G11" s="226"/>
    </row>
    <row r="12" spans="1:28" ht="9.9499999999999993" customHeight="1">
      <c r="A12" s="124"/>
      <c r="B12" s="93"/>
      <c r="C12" s="93"/>
      <c r="D12" s="93"/>
      <c r="E12" s="93"/>
      <c r="F12" s="93"/>
      <c r="G12" s="93"/>
    </row>
    <row r="13" spans="1:28" s="126" customFormat="1" ht="30" customHeight="1">
      <c r="A13" s="191" t="s">
        <v>330</v>
      </c>
      <c r="B13" s="191"/>
      <c r="C13" s="191"/>
      <c r="D13" s="191"/>
      <c r="E13" s="191"/>
      <c r="F13" s="191"/>
      <c r="G13" s="191"/>
      <c r="J13" s="77"/>
      <c r="K13" s="127"/>
      <c r="L13" s="75"/>
      <c r="M13" s="75"/>
      <c r="N13" s="75"/>
      <c r="O13" s="75"/>
      <c r="P13" s="75"/>
      <c r="Q13" s="75"/>
      <c r="R13" s="75"/>
      <c r="S13" s="75"/>
      <c r="T13" s="75"/>
      <c r="U13" s="75"/>
      <c r="V13" s="75"/>
      <c r="W13" s="75"/>
      <c r="X13" s="75"/>
      <c r="Y13" s="75"/>
      <c r="Z13" s="75"/>
      <c r="AA13" s="75"/>
      <c r="AB13" s="75"/>
    </row>
    <row r="14" spans="1:28" s="126" customFormat="1" ht="9.9499999999999993" customHeight="1">
      <c r="A14" s="99"/>
      <c r="B14" s="99"/>
      <c r="C14" s="99"/>
      <c r="D14" s="99"/>
      <c r="E14" s="99"/>
      <c r="F14" s="99"/>
      <c r="G14" s="99"/>
      <c r="I14" s="77"/>
      <c r="J14" s="77"/>
      <c r="K14" s="127"/>
      <c r="L14" s="75"/>
      <c r="M14" s="75"/>
      <c r="N14" s="75"/>
      <c r="O14" s="75"/>
      <c r="P14" s="75"/>
      <c r="Q14" s="75"/>
      <c r="R14" s="75"/>
      <c r="S14" s="75"/>
      <c r="T14" s="75"/>
      <c r="U14" s="75"/>
      <c r="V14" s="75"/>
      <c r="W14" s="75"/>
      <c r="X14" s="75"/>
      <c r="Y14" s="75"/>
      <c r="Z14" s="75"/>
      <c r="AA14" s="75"/>
      <c r="AB14" s="75"/>
    </row>
    <row r="15" spans="1:28" s="126" customFormat="1" ht="12" hidden="1" customHeight="1">
      <c r="A15" s="77" t="s">
        <v>1</v>
      </c>
      <c r="B15" s="99"/>
      <c r="C15" s="99"/>
      <c r="D15" s="99"/>
      <c r="F15" s="99"/>
      <c r="G15" s="99"/>
      <c r="I15" s="77"/>
      <c r="J15" s="77"/>
      <c r="K15" s="127"/>
      <c r="L15" s="75"/>
      <c r="M15" s="75"/>
      <c r="N15" s="75"/>
      <c r="O15" s="75"/>
      <c r="P15" s="75"/>
      <c r="Q15" s="75"/>
      <c r="R15" s="75"/>
      <c r="S15" s="75"/>
      <c r="T15" s="75"/>
      <c r="U15" s="75"/>
      <c r="V15" s="75"/>
      <c r="W15" s="75"/>
      <c r="X15" s="75"/>
      <c r="Y15" s="75"/>
      <c r="Z15" s="75"/>
      <c r="AA15" s="75"/>
      <c r="AB15" s="75"/>
    </row>
    <row r="16" spans="1:28" s="126" customFormat="1" ht="9" hidden="1" customHeight="1">
      <c r="A16" s="99"/>
      <c r="B16" s="99"/>
      <c r="C16" s="99"/>
      <c r="D16" s="99"/>
      <c r="E16" s="99"/>
      <c r="F16" s="99"/>
      <c r="G16" s="99"/>
      <c r="I16" s="77"/>
      <c r="J16" s="77"/>
      <c r="K16" s="127"/>
      <c r="L16" s="75"/>
      <c r="M16" s="75"/>
      <c r="N16" s="75"/>
      <c r="O16" s="75"/>
      <c r="P16" s="75"/>
      <c r="Q16" s="75"/>
      <c r="R16" s="75"/>
      <c r="S16" s="75"/>
      <c r="T16" s="75"/>
      <c r="U16" s="75"/>
      <c r="V16" s="75"/>
      <c r="W16" s="75"/>
      <c r="X16" s="75"/>
      <c r="Y16" s="75"/>
      <c r="Z16" s="75"/>
      <c r="AA16" s="75"/>
      <c r="AB16" s="75"/>
    </row>
    <row r="17" spans="1:28" s="126" customFormat="1" ht="12" hidden="1" customHeight="1">
      <c r="A17" s="227" t="s">
        <v>0</v>
      </c>
      <c r="B17" s="227"/>
      <c r="C17" s="227"/>
      <c r="D17" s="227"/>
      <c r="E17" s="227"/>
      <c r="F17" s="227"/>
      <c r="G17" s="99"/>
      <c r="I17" s="77"/>
      <c r="J17" s="77"/>
      <c r="K17" s="127"/>
      <c r="L17" s="75"/>
      <c r="M17" s="75"/>
      <c r="N17" s="75"/>
      <c r="O17" s="75"/>
      <c r="P17" s="75"/>
      <c r="Q17" s="75"/>
      <c r="R17" s="75"/>
      <c r="S17" s="75"/>
      <c r="T17" s="75"/>
      <c r="U17" s="75"/>
      <c r="V17" s="75"/>
      <c r="W17" s="75"/>
      <c r="X17" s="75"/>
      <c r="Y17" s="75"/>
      <c r="Z17" s="75"/>
      <c r="AA17" s="75"/>
      <c r="AB17" s="75"/>
    </row>
    <row r="18" spans="1:28" s="126" customFormat="1" ht="12" hidden="1" customHeight="1">
      <c r="A18" s="128"/>
      <c r="B18" s="128"/>
      <c r="C18" s="128"/>
      <c r="D18" s="128"/>
      <c r="E18" s="128"/>
      <c r="F18" s="129"/>
      <c r="G18" s="99"/>
      <c r="I18" s="77"/>
      <c r="J18" s="77"/>
      <c r="K18" s="127"/>
      <c r="L18" s="75"/>
      <c r="M18" s="75"/>
      <c r="N18" s="75"/>
      <c r="O18" s="75"/>
      <c r="P18" s="75"/>
      <c r="Q18" s="75"/>
      <c r="R18" s="75"/>
      <c r="S18" s="75"/>
      <c r="T18" s="75"/>
      <c r="U18" s="75"/>
      <c r="V18" s="75"/>
      <c r="W18" s="75"/>
      <c r="X18" s="75"/>
      <c r="Y18" s="75"/>
      <c r="Z18" s="75"/>
      <c r="AA18" s="75"/>
      <c r="AB18" s="75"/>
    </row>
    <row r="19" spans="1:28" s="126" customFormat="1" ht="36.75" hidden="1" customHeight="1">
      <c r="A19" s="224" t="s">
        <v>236</v>
      </c>
      <c r="B19" s="224"/>
      <c r="C19" s="224"/>
      <c r="D19" s="224"/>
      <c r="E19" s="224"/>
      <c r="F19" s="224"/>
      <c r="G19" s="224"/>
      <c r="I19" s="77"/>
      <c r="J19" s="77"/>
      <c r="K19" s="127"/>
      <c r="L19" s="75"/>
      <c r="M19" s="75"/>
      <c r="N19" s="75"/>
      <c r="O19" s="75"/>
      <c r="P19" s="75"/>
      <c r="Q19" s="75"/>
      <c r="R19" s="75"/>
      <c r="S19" s="75"/>
      <c r="T19" s="75"/>
      <c r="U19" s="75"/>
      <c r="V19" s="75"/>
      <c r="W19" s="75"/>
      <c r="X19" s="75"/>
      <c r="Y19" s="75"/>
      <c r="Z19" s="75"/>
      <c r="AA19" s="75"/>
      <c r="AB19" s="75"/>
    </row>
    <row r="20" spans="1:28" s="126" customFormat="1" ht="9" hidden="1" customHeight="1">
      <c r="A20" s="128"/>
      <c r="B20" s="128"/>
      <c r="C20" s="128"/>
      <c r="D20" s="128"/>
      <c r="E20" s="128"/>
      <c r="F20" s="129"/>
      <c r="G20" s="99"/>
      <c r="I20" s="77"/>
      <c r="J20" s="77"/>
      <c r="K20" s="127"/>
      <c r="L20" s="75"/>
      <c r="M20" s="75"/>
      <c r="N20" s="75"/>
      <c r="O20" s="75"/>
      <c r="P20" s="75"/>
      <c r="Q20" s="75"/>
      <c r="R20" s="75"/>
      <c r="S20" s="75"/>
      <c r="T20" s="75"/>
      <c r="U20" s="75"/>
      <c r="V20" s="75"/>
      <c r="W20" s="75"/>
      <c r="X20" s="75"/>
      <c r="Y20" s="75"/>
      <c r="Z20" s="75"/>
      <c r="AA20" s="75"/>
      <c r="AB20" s="75"/>
    </row>
    <row r="21" spans="1:28" s="126" customFormat="1" ht="27" hidden="1" customHeight="1">
      <c r="A21" s="224" t="s">
        <v>237</v>
      </c>
      <c r="B21" s="224"/>
      <c r="C21" s="224"/>
      <c r="D21" s="224"/>
      <c r="E21" s="224"/>
      <c r="F21" s="224"/>
      <c r="G21" s="224"/>
      <c r="I21" s="77"/>
      <c r="J21" s="77"/>
      <c r="K21" s="127"/>
      <c r="L21" s="75"/>
      <c r="M21" s="75"/>
      <c r="N21" s="75"/>
      <c r="O21" s="75"/>
      <c r="P21" s="75"/>
      <c r="Q21" s="75"/>
      <c r="R21" s="75"/>
      <c r="S21" s="75"/>
      <c r="T21" s="75"/>
      <c r="U21" s="75"/>
      <c r="V21" s="75"/>
      <c r="W21" s="75"/>
      <c r="X21" s="75"/>
      <c r="Y21" s="75"/>
      <c r="Z21" s="75"/>
      <c r="AA21" s="75"/>
      <c r="AB21" s="75"/>
    </row>
    <row r="22" spans="1:28" s="126" customFormat="1" ht="9" hidden="1" customHeight="1">
      <c r="A22" s="128"/>
      <c r="B22" s="128"/>
      <c r="C22" s="128"/>
      <c r="D22" s="128"/>
      <c r="E22" s="128"/>
      <c r="F22" s="129"/>
      <c r="G22" s="99"/>
      <c r="I22" s="77"/>
      <c r="J22" s="77"/>
      <c r="K22" s="127"/>
      <c r="L22" s="75"/>
      <c r="M22" s="75"/>
      <c r="N22" s="75"/>
      <c r="O22" s="75"/>
      <c r="P22" s="75"/>
      <c r="Q22" s="75"/>
      <c r="R22" s="75"/>
      <c r="S22" s="75"/>
      <c r="T22" s="75"/>
      <c r="U22" s="75"/>
      <c r="V22" s="75"/>
      <c r="W22" s="75"/>
      <c r="X22" s="75"/>
      <c r="Y22" s="75"/>
      <c r="Z22" s="75"/>
      <c r="AA22" s="75"/>
      <c r="AB22" s="75"/>
    </row>
    <row r="23" spans="1:28" s="126" customFormat="1" ht="37.5" hidden="1" customHeight="1">
      <c r="A23" s="224" t="s">
        <v>238</v>
      </c>
      <c r="B23" s="224"/>
      <c r="C23" s="224"/>
      <c r="D23" s="224"/>
      <c r="E23" s="224"/>
      <c r="F23" s="224"/>
      <c r="G23" s="224"/>
      <c r="I23" s="77"/>
      <c r="J23" s="77"/>
      <c r="K23" s="127"/>
      <c r="L23" s="75"/>
      <c r="M23" s="75"/>
      <c r="N23" s="75"/>
      <c r="O23" s="75"/>
      <c r="P23" s="75"/>
      <c r="Q23" s="75"/>
      <c r="R23" s="75"/>
      <c r="S23" s="75"/>
      <c r="T23" s="75"/>
      <c r="U23" s="75"/>
      <c r="V23" s="75"/>
      <c r="W23" s="75"/>
      <c r="X23" s="75"/>
      <c r="Y23" s="75"/>
      <c r="Z23" s="75"/>
      <c r="AA23" s="75"/>
      <c r="AB23" s="75"/>
    </row>
    <row r="24" spans="1:28" s="126" customFormat="1" ht="9" hidden="1" customHeight="1">
      <c r="A24" s="99"/>
      <c r="B24" s="99"/>
      <c r="C24" s="99"/>
      <c r="D24" s="99"/>
      <c r="E24" s="99"/>
      <c r="F24" s="99"/>
      <c r="G24" s="99"/>
      <c r="I24" s="77"/>
      <c r="J24" s="77"/>
      <c r="K24" s="127"/>
      <c r="L24" s="75"/>
      <c r="M24" s="75"/>
      <c r="N24" s="75"/>
      <c r="O24" s="75"/>
      <c r="P24" s="75"/>
      <c r="Q24" s="75"/>
      <c r="R24" s="75"/>
      <c r="S24" s="75"/>
      <c r="T24" s="75"/>
      <c r="U24" s="75"/>
      <c r="V24" s="75"/>
      <c r="W24" s="75"/>
      <c r="X24" s="75"/>
      <c r="Y24" s="75"/>
      <c r="Z24" s="75"/>
      <c r="AA24" s="75"/>
      <c r="AB24" s="75"/>
    </row>
    <row r="25" spans="1:28" s="126" customFormat="1" ht="24.75" hidden="1" customHeight="1">
      <c r="A25" s="224" t="s">
        <v>239</v>
      </c>
      <c r="B25" s="224"/>
      <c r="C25" s="224"/>
      <c r="D25" s="224"/>
      <c r="E25" s="224"/>
      <c r="F25" s="224"/>
      <c r="G25" s="224"/>
      <c r="I25" s="77"/>
      <c r="J25" s="77"/>
      <c r="K25" s="127"/>
      <c r="L25" s="75"/>
      <c r="M25" s="75"/>
      <c r="N25" s="75"/>
      <c r="O25" s="75"/>
      <c r="P25" s="75"/>
      <c r="Q25" s="75"/>
      <c r="R25" s="75"/>
      <c r="S25" s="75"/>
      <c r="T25" s="75"/>
      <c r="U25" s="75"/>
      <c r="V25" s="75"/>
      <c r="W25" s="75"/>
      <c r="X25" s="75"/>
      <c r="Y25" s="75"/>
      <c r="Z25" s="75"/>
      <c r="AA25" s="75"/>
      <c r="AB25" s="75"/>
    </row>
    <row r="26" spans="1:28" s="126" customFormat="1" ht="9" hidden="1" customHeight="1">
      <c r="A26" s="128"/>
      <c r="B26" s="128"/>
      <c r="C26" s="128"/>
      <c r="D26" s="128"/>
      <c r="E26" s="128"/>
      <c r="F26" s="129"/>
      <c r="G26" s="99"/>
      <c r="I26" s="77"/>
      <c r="J26" s="77"/>
      <c r="K26" s="127"/>
      <c r="L26" s="75"/>
      <c r="M26" s="75"/>
      <c r="N26" s="75"/>
      <c r="O26" s="75"/>
      <c r="P26" s="75"/>
      <c r="Q26" s="75"/>
      <c r="R26" s="75"/>
      <c r="S26" s="75"/>
      <c r="T26" s="75"/>
      <c r="U26" s="75"/>
      <c r="V26" s="75"/>
      <c r="W26" s="75"/>
      <c r="X26" s="75"/>
      <c r="Y26" s="75"/>
      <c r="Z26" s="75"/>
      <c r="AA26" s="75"/>
      <c r="AB26" s="75"/>
    </row>
    <row r="27" spans="1:28" s="126" customFormat="1" ht="28.5" hidden="1" customHeight="1">
      <c r="A27" s="224" t="s">
        <v>240</v>
      </c>
      <c r="B27" s="224"/>
      <c r="C27" s="224"/>
      <c r="D27" s="224"/>
      <c r="E27" s="224"/>
      <c r="F27" s="224"/>
      <c r="G27" s="224"/>
      <c r="I27" s="77"/>
      <c r="J27" s="77"/>
      <c r="K27" s="127"/>
      <c r="L27" s="75"/>
      <c r="M27" s="75"/>
      <c r="N27" s="75"/>
      <c r="O27" s="75"/>
      <c r="P27" s="75"/>
      <c r="Q27" s="75"/>
      <c r="R27" s="75"/>
      <c r="S27" s="75"/>
      <c r="T27" s="75"/>
      <c r="U27" s="75"/>
      <c r="V27" s="75"/>
      <c r="W27" s="75"/>
      <c r="X27" s="75"/>
      <c r="Y27" s="75"/>
      <c r="Z27" s="75"/>
      <c r="AA27" s="75"/>
      <c r="AB27" s="75"/>
    </row>
    <row r="28" spans="1:28" s="126" customFormat="1" ht="9" hidden="1" customHeight="1">
      <c r="A28" s="128"/>
      <c r="B28" s="128"/>
      <c r="C28" s="128"/>
      <c r="D28" s="128"/>
      <c r="E28" s="128"/>
      <c r="F28" s="129"/>
      <c r="G28" s="99"/>
      <c r="I28" s="77"/>
      <c r="J28" s="77"/>
      <c r="K28" s="127"/>
      <c r="L28" s="75"/>
      <c r="M28" s="75"/>
      <c r="N28" s="75"/>
      <c r="O28" s="75"/>
      <c r="P28" s="75"/>
      <c r="Q28" s="75"/>
      <c r="R28" s="75"/>
      <c r="S28" s="75"/>
      <c r="T28" s="75"/>
      <c r="U28" s="75"/>
      <c r="V28" s="75"/>
      <c r="W28" s="75"/>
      <c r="X28" s="75"/>
      <c r="Y28" s="75"/>
      <c r="Z28" s="75"/>
      <c r="AA28" s="75"/>
      <c r="AB28" s="75"/>
    </row>
    <row r="29" spans="1:28" s="126" customFormat="1" ht="26.25" hidden="1" customHeight="1">
      <c r="A29" s="224" t="s">
        <v>241</v>
      </c>
      <c r="B29" s="224"/>
      <c r="C29" s="224"/>
      <c r="D29" s="224"/>
      <c r="E29" s="224"/>
      <c r="F29" s="224"/>
      <c r="G29" s="224"/>
      <c r="I29" s="77"/>
      <c r="J29" s="77"/>
      <c r="K29" s="127"/>
      <c r="L29" s="75"/>
      <c r="M29" s="75"/>
      <c r="N29" s="75"/>
      <c r="O29" s="75"/>
      <c r="P29" s="75"/>
      <c r="Q29" s="75"/>
      <c r="R29" s="75"/>
      <c r="S29" s="75"/>
      <c r="T29" s="75"/>
      <c r="U29" s="75"/>
      <c r="V29" s="75"/>
      <c r="W29" s="75"/>
      <c r="X29" s="75"/>
      <c r="Y29" s="75"/>
      <c r="Z29" s="75"/>
      <c r="AA29" s="75"/>
      <c r="AB29" s="75"/>
    </row>
    <row r="30" spans="1:28" s="126" customFormat="1" ht="9" hidden="1" customHeight="1">
      <c r="A30" s="128"/>
      <c r="B30" s="128"/>
      <c r="C30" s="128"/>
      <c r="D30" s="128"/>
      <c r="E30" s="128"/>
      <c r="F30" s="129"/>
      <c r="G30" s="99"/>
      <c r="I30" s="77"/>
      <c r="J30" s="77"/>
      <c r="K30" s="127"/>
      <c r="L30" s="75"/>
      <c r="M30" s="75"/>
      <c r="N30" s="75"/>
      <c r="O30" s="75"/>
      <c r="P30" s="75"/>
      <c r="Q30" s="75"/>
      <c r="R30" s="75"/>
      <c r="S30" s="75"/>
      <c r="T30" s="75"/>
      <c r="U30" s="75"/>
      <c r="V30" s="75"/>
      <c r="W30" s="75"/>
      <c r="X30" s="75"/>
      <c r="Y30" s="75"/>
      <c r="Z30" s="75"/>
      <c r="AA30" s="75"/>
      <c r="AB30" s="75"/>
    </row>
    <row r="31" spans="1:28" s="126" customFormat="1" ht="51.75" hidden="1" customHeight="1">
      <c r="A31" s="224" t="s">
        <v>242</v>
      </c>
      <c r="B31" s="224"/>
      <c r="C31" s="224"/>
      <c r="D31" s="224"/>
      <c r="E31" s="224"/>
      <c r="F31" s="224"/>
      <c r="G31" s="224"/>
      <c r="I31" s="77"/>
      <c r="J31" s="77"/>
      <c r="K31" s="127"/>
      <c r="L31" s="75"/>
      <c r="M31" s="75"/>
      <c r="N31" s="75"/>
      <c r="O31" s="75"/>
      <c r="P31" s="75"/>
      <c r="Q31" s="75"/>
      <c r="R31" s="75"/>
      <c r="S31" s="75"/>
      <c r="T31" s="75"/>
      <c r="U31" s="75"/>
      <c r="V31" s="75"/>
      <c r="W31" s="75"/>
      <c r="X31" s="75"/>
      <c r="Y31" s="75"/>
      <c r="Z31" s="75"/>
      <c r="AA31" s="75"/>
      <c r="AB31" s="75"/>
    </row>
    <row r="32" spans="1:28" s="126" customFormat="1" ht="9" hidden="1" customHeight="1">
      <c r="A32" s="128"/>
      <c r="B32" s="128"/>
      <c r="C32" s="128"/>
      <c r="D32" s="128"/>
      <c r="E32" s="128"/>
      <c r="F32" s="129"/>
      <c r="G32" s="99"/>
      <c r="I32" s="77"/>
      <c r="J32" s="77"/>
      <c r="K32" s="127"/>
      <c r="L32" s="75"/>
      <c r="M32" s="75"/>
      <c r="N32" s="75"/>
      <c r="O32" s="75"/>
      <c r="P32" s="75"/>
      <c r="Q32" s="75"/>
      <c r="R32" s="75"/>
      <c r="S32" s="75"/>
      <c r="T32" s="75"/>
      <c r="U32" s="75"/>
      <c r="V32" s="75"/>
      <c r="W32" s="75"/>
      <c r="X32" s="75"/>
      <c r="Y32" s="75"/>
      <c r="Z32" s="75"/>
      <c r="AA32" s="75"/>
      <c r="AB32" s="75"/>
    </row>
    <row r="33" spans="1:28" s="126" customFormat="1" ht="27" hidden="1" customHeight="1">
      <c r="A33" s="224" t="s">
        <v>243</v>
      </c>
      <c r="B33" s="224"/>
      <c r="C33" s="224"/>
      <c r="D33" s="224"/>
      <c r="E33" s="224"/>
      <c r="F33" s="224"/>
      <c r="G33" s="224"/>
      <c r="I33" s="77"/>
      <c r="J33" s="77"/>
      <c r="K33" s="127"/>
      <c r="L33" s="75"/>
      <c r="M33" s="75"/>
      <c r="N33" s="75"/>
      <c r="O33" s="75"/>
      <c r="P33" s="75"/>
      <c r="Q33" s="75"/>
      <c r="R33" s="75"/>
      <c r="S33" s="75"/>
      <c r="T33" s="75"/>
      <c r="U33" s="75"/>
      <c r="V33" s="75"/>
      <c r="W33" s="75"/>
      <c r="X33" s="75"/>
      <c r="Y33" s="75"/>
      <c r="Z33" s="75"/>
      <c r="AA33" s="75"/>
      <c r="AB33" s="75"/>
    </row>
    <row r="34" spans="1:28" s="126" customFormat="1" ht="15" hidden="1" customHeight="1">
      <c r="A34" s="77"/>
      <c r="B34" s="99"/>
      <c r="C34" s="99"/>
      <c r="D34" s="99"/>
      <c r="E34" s="99"/>
      <c r="F34" s="99"/>
      <c r="G34" s="99"/>
      <c r="I34" s="77"/>
      <c r="J34" s="77"/>
      <c r="K34" s="127"/>
      <c r="L34" s="75"/>
      <c r="M34" s="75"/>
      <c r="N34" s="75"/>
      <c r="O34" s="75"/>
      <c r="P34" s="75"/>
      <c r="Q34" s="75"/>
      <c r="R34" s="75"/>
      <c r="S34" s="75"/>
      <c r="T34" s="75"/>
      <c r="U34" s="75"/>
      <c r="V34" s="75"/>
      <c r="W34" s="75"/>
      <c r="X34" s="75"/>
      <c r="Y34" s="75"/>
      <c r="Z34" s="75"/>
      <c r="AA34" s="75"/>
      <c r="AB34" s="75"/>
    </row>
    <row r="35" spans="1:28" ht="9.9499999999999993" customHeight="1">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row>
    <row r="36" spans="1:28" ht="80.099999999999994" customHeight="1">
      <c r="A36" s="187" t="s">
        <v>195</v>
      </c>
      <c r="B36" s="191"/>
      <c r="C36" s="191"/>
      <c r="D36" s="191"/>
      <c r="E36" s="191"/>
      <c r="F36" s="191"/>
      <c r="G36" s="191"/>
      <c r="H36" s="130"/>
      <c r="I36" s="130"/>
      <c r="J36" s="130"/>
      <c r="K36" s="130"/>
      <c r="L36" s="130"/>
      <c r="M36" s="130"/>
      <c r="N36" s="130"/>
      <c r="O36" s="130"/>
      <c r="P36" s="130"/>
      <c r="Q36" s="130"/>
      <c r="R36" s="130"/>
      <c r="S36" s="130"/>
      <c r="T36" s="130"/>
      <c r="U36" s="130"/>
      <c r="V36" s="130"/>
      <c r="W36" s="130"/>
      <c r="X36" s="130"/>
      <c r="Y36" s="130"/>
      <c r="Z36" s="130"/>
      <c r="AA36" s="130"/>
    </row>
    <row r="37" spans="1:28" ht="9.9499999999999993" customHeight="1">
      <c r="B37" s="130"/>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row>
    <row r="38" spans="1:28" ht="30" customHeight="1">
      <c r="A38" s="191" t="s">
        <v>180</v>
      </c>
      <c r="B38" s="191"/>
      <c r="C38" s="191"/>
      <c r="D38" s="191"/>
      <c r="E38" s="191"/>
      <c r="F38" s="191"/>
      <c r="G38" s="191"/>
      <c r="H38" s="130"/>
      <c r="I38" s="130"/>
      <c r="J38" s="130"/>
      <c r="K38" s="130"/>
      <c r="L38" s="130"/>
      <c r="M38" s="130"/>
      <c r="N38" s="130"/>
      <c r="O38" s="130"/>
      <c r="P38" s="130"/>
      <c r="Q38" s="130"/>
      <c r="R38" s="130"/>
      <c r="S38" s="130"/>
      <c r="T38" s="130"/>
      <c r="U38" s="130"/>
      <c r="V38" s="130"/>
      <c r="W38" s="130"/>
      <c r="X38" s="130"/>
      <c r="Y38" s="130"/>
      <c r="Z38" s="130"/>
      <c r="AA38" s="130"/>
    </row>
    <row r="39" spans="1:28" ht="9.9499999999999993" customHeight="1">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row>
    <row r="40" spans="1:28" ht="30" customHeight="1">
      <c r="A40" s="191" t="s">
        <v>181</v>
      </c>
      <c r="B40" s="191"/>
      <c r="C40" s="191"/>
      <c r="D40" s="191"/>
      <c r="E40" s="191"/>
      <c r="F40" s="191"/>
      <c r="G40" s="191"/>
      <c r="H40" s="130"/>
      <c r="I40" s="130"/>
      <c r="J40" s="130"/>
      <c r="K40" s="130"/>
      <c r="L40" s="130"/>
      <c r="M40" s="130"/>
      <c r="N40" s="130"/>
      <c r="O40" s="130"/>
      <c r="P40" s="130"/>
      <c r="Q40" s="130"/>
      <c r="R40" s="130"/>
      <c r="S40" s="130"/>
      <c r="T40" s="130"/>
      <c r="U40" s="130"/>
      <c r="V40" s="130"/>
      <c r="W40" s="130"/>
      <c r="X40" s="130"/>
      <c r="Y40" s="130"/>
      <c r="Z40" s="130"/>
      <c r="AA40" s="130"/>
    </row>
    <row r="41" spans="1:28" ht="9.75" customHeight="1">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row>
    <row r="42" spans="1:28" ht="17.25">
      <c r="A42" s="191"/>
      <c r="B42" s="191"/>
      <c r="C42" s="191"/>
      <c r="D42" s="191"/>
      <c r="E42" s="191"/>
      <c r="F42" s="191"/>
      <c r="G42" s="191"/>
      <c r="H42" s="130"/>
      <c r="I42" s="130"/>
      <c r="J42" s="130"/>
      <c r="K42" s="130"/>
      <c r="L42" s="130"/>
      <c r="M42" s="130"/>
      <c r="N42" s="130"/>
      <c r="O42" s="130"/>
      <c r="P42" s="130"/>
      <c r="Q42" s="130"/>
      <c r="R42" s="130"/>
      <c r="S42" s="130"/>
      <c r="T42" s="130"/>
      <c r="U42" s="130"/>
      <c r="V42" s="130"/>
      <c r="W42" s="130"/>
      <c r="X42" s="130"/>
      <c r="Y42" s="130"/>
      <c r="Z42" s="130"/>
      <c r="AA42" s="130"/>
    </row>
    <row r="43" spans="1:28" ht="17.25">
      <c r="A43" s="130"/>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row>
    <row r="44" spans="1:28" ht="17.25">
      <c r="A44" s="130"/>
      <c r="B44" s="130"/>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row>
    <row r="45" spans="1:28" ht="17.25">
      <c r="A45" s="130"/>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row>
    <row r="46" spans="1:28" ht="17.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row>
    <row r="47" spans="1:28" ht="17.25">
      <c r="A47" s="130"/>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row>
    <row r="48" spans="1:28" ht="17.25">
      <c r="A48" s="130"/>
      <c r="B48" s="130"/>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row>
    <row r="49" spans="1:27" ht="17.25">
      <c r="A49" s="130"/>
      <c r="B49" s="130"/>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row>
    <row r="50" spans="1:27" ht="17.25">
      <c r="A50" s="130"/>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row>
    <row r="51" spans="1:27" ht="17.25">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row>
    <row r="52" spans="1:27" ht="17.25">
      <c r="A52" s="130"/>
      <c r="B52" s="130"/>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row>
    <row r="53" spans="1:27" ht="17.25">
      <c r="A53" s="130"/>
      <c r="B53" s="130"/>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row>
    <row r="54" spans="1:27" ht="17.25">
      <c r="A54" s="130"/>
      <c r="B54" s="130"/>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row>
    <row r="55" spans="1:27" ht="17.25">
      <c r="A55" s="130"/>
      <c r="B55" s="130"/>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0"/>
    </row>
    <row r="56" spans="1:27" ht="17.25">
      <c r="A56" s="130"/>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row>
    <row r="57" spans="1:27" ht="17.25">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row>
    <row r="58" spans="1:27" ht="17.25">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row>
    <row r="59" spans="1:27" ht="17.25">
      <c r="A59" s="130"/>
      <c r="B59" s="130"/>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row>
    <row r="60" spans="1:27" ht="17.25">
      <c r="A60" s="130"/>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row>
    <row r="61" spans="1:27" ht="17.25">
      <c r="A61" s="130"/>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row>
    <row r="62" spans="1:27" ht="17.25">
      <c r="A62" s="130"/>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row>
    <row r="63" spans="1:27" ht="17.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row>
    <row r="64" spans="1:27" ht="17.25">
      <c r="A64" s="130"/>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row>
    <row r="65" spans="1:27" ht="17.25">
      <c r="A65" s="130"/>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row>
    <row r="66" spans="1:27" ht="17.25">
      <c r="A66" s="130"/>
      <c r="B66" s="130"/>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c r="AA66" s="130"/>
    </row>
    <row r="67" spans="1:27" ht="17.25">
      <c r="A67" s="130"/>
      <c r="B67" s="130"/>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row>
    <row r="68" spans="1:27" ht="17.25">
      <c r="A68" s="130"/>
      <c r="B68" s="130"/>
      <c r="C68" s="130"/>
      <c r="D68" s="130"/>
      <c r="E68" s="130"/>
      <c r="F68" s="130"/>
      <c r="G68" s="130"/>
      <c r="H68" s="130"/>
      <c r="I68" s="130"/>
      <c r="J68" s="130"/>
      <c r="K68" s="130"/>
      <c r="L68" s="130"/>
      <c r="M68" s="130"/>
      <c r="N68" s="130"/>
      <c r="O68" s="130"/>
      <c r="P68" s="130"/>
      <c r="Q68" s="130"/>
      <c r="R68" s="130"/>
      <c r="S68" s="130"/>
      <c r="T68" s="130"/>
      <c r="U68" s="130"/>
      <c r="V68" s="130"/>
      <c r="W68" s="130"/>
      <c r="X68" s="130"/>
      <c r="Y68" s="130"/>
      <c r="Z68" s="130"/>
      <c r="AA68" s="130"/>
    </row>
    <row r="69" spans="1:27" ht="17.25">
      <c r="A69" s="130"/>
      <c r="B69" s="130"/>
      <c r="C69" s="130"/>
      <c r="D69" s="130"/>
      <c r="E69" s="130"/>
      <c r="F69" s="130"/>
      <c r="G69" s="130"/>
      <c r="H69" s="130"/>
      <c r="I69" s="130"/>
      <c r="J69" s="130"/>
      <c r="K69" s="130"/>
      <c r="L69" s="130"/>
      <c r="M69" s="130"/>
      <c r="N69" s="130"/>
      <c r="O69" s="130"/>
      <c r="P69" s="130"/>
      <c r="Q69" s="130"/>
      <c r="R69" s="130"/>
      <c r="S69" s="130"/>
      <c r="T69" s="130"/>
      <c r="U69" s="130"/>
      <c r="V69" s="130"/>
      <c r="W69" s="130"/>
      <c r="X69" s="130"/>
      <c r="Y69" s="130"/>
      <c r="Z69" s="130"/>
      <c r="AA69" s="130"/>
    </row>
    <row r="70" spans="1:27" ht="17.25">
      <c r="A70" s="130"/>
      <c r="B70" s="130"/>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c r="AA70" s="130"/>
    </row>
    <row r="71" spans="1:27" ht="17.25">
      <c r="A71" s="130"/>
      <c r="B71" s="130"/>
      <c r="C71" s="130"/>
      <c r="D71" s="130"/>
      <c r="E71" s="130"/>
      <c r="F71" s="130"/>
      <c r="G71" s="130"/>
      <c r="H71" s="130"/>
      <c r="I71" s="130"/>
      <c r="J71" s="130"/>
      <c r="K71" s="130"/>
      <c r="L71" s="130"/>
      <c r="M71" s="130"/>
      <c r="N71" s="130"/>
      <c r="O71" s="130"/>
      <c r="P71" s="130"/>
      <c r="Q71" s="130"/>
      <c r="R71" s="130"/>
      <c r="S71" s="130"/>
      <c r="T71" s="130"/>
      <c r="U71" s="130"/>
      <c r="V71" s="130"/>
      <c r="W71" s="130"/>
      <c r="X71" s="130"/>
      <c r="Y71" s="130"/>
      <c r="Z71" s="130"/>
      <c r="AA71" s="130"/>
    </row>
    <row r="72" spans="1:27" ht="17.25">
      <c r="A72" s="130"/>
      <c r="B72" s="130"/>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c r="AA72" s="130"/>
    </row>
    <row r="73" spans="1:27" ht="17.25">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row>
    <row r="74" spans="1:27" ht="17.25">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row>
    <row r="75" spans="1:27" ht="17.25">
      <c r="A75" s="130"/>
      <c r="B75" s="130"/>
      <c r="C75" s="130"/>
      <c r="D75" s="130"/>
      <c r="E75" s="130"/>
      <c r="F75" s="130"/>
      <c r="G75" s="130"/>
      <c r="H75" s="130"/>
      <c r="I75" s="130"/>
      <c r="J75" s="130"/>
      <c r="K75" s="130"/>
      <c r="L75" s="130"/>
      <c r="M75" s="130"/>
      <c r="N75" s="130"/>
      <c r="O75" s="130"/>
      <c r="P75" s="130"/>
      <c r="Q75" s="130"/>
      <c r="R75" s="130"/>
      <c r="S75" s="130"/>
      <c r="T75" s="130"/>
      <c r="U75" s="130"/>
      <c r="V75" s="130"/>
      <c r="W75" s="130"/>
      <c r="X75" s="130"/>
      <c r="Y75" s="130"/>
      <c r="Z75" s="130"/>
      <c r="AA75" s="130"/>
    </row>
    <row r="76" spans="1:27" ht="17.25">
      <c r="A76" s="130"/>
      <c r="B76" s="130"/>
      <c r="C76" s="130"/>
      <c r="D76" s="130"/>
      <c r="E76" s="130"/>
      <c r="F76" s="130"/>
      <c r="G76" s="130"/>
      <c r="H76" s="130"/>
      <c r="I76" s="130"/>
      <c r="J76" s="130"/>
      <c r="K76" s="130"/>
      <c r="L76" s="130"/>
      <c r="M76" s="130"/>
      <c r="N76" s="130"/>
      <c r="O76" s="130"/>
      <c r="P76" s="130"/>
      <c r="Q76" s="130"/>
      <c r="R76" s="130"/>
      <c r="S76" s="130"/>
      <c r="T76" s="130"/>
      <c r="U76" s="130"/>
      <c r="V76" s="130"/>
      <c r="W76" s="130"/>
      <c r="X76" s="130"/>
      <c r="Y76" s="130"/>
      <c r="Z76" s="130"/>
      <c r="AA76" s="130"/>
    </row>
    <row r="77" spans="1:27" ht="17.25">
      <c r="A77" s="130"/>
      <c r="B77" s="130"/>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c r="AA77" s="130"/>
    </row>
    <row r="78" spans="1:27" ht="17.25">
      <c r="A78" s="130"/>
      <c r="B78" s="130"/>
      <c r="C78" s="130"/>
      <c r="D78" s="130"/>
      <c r="E78" s="130"/>
      <c r="F78" s="130"/>
      <c r="G78" s="130"/>
      <c r="H78" s="130"/>
      <c r="I78" s="130"/>
      <c r="J78" s="130"/>
      <c r="K78" s="130"/>
      <c r="L78" s="130"/>
      <c r="M78" s="130"/>
      <c r="N78" s="130"/>
      <c r="O78" s="130"/>
      <c r="P78" s="130"/>
      <c r="Q78" s="130"/>
      <c r="R78" s="130"/>
      <c r="S78" s="130"/>
      <c r="T78" s="130"/>
      <c r="U78" s="130"/>
      <c r="V78" s="130"/>
      <c r="W78" s="130"/>
      <c r="X78" s="130"/>
      <c r="Y78" s="130"/>
      <c r="Z78" s="130"/>
      <c r="AA78" s="130"/>
    </row>
    <row r="79" spans="1:27" ht="17.25">
      <c r="A79" s="130"/>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row>
    <row r="80" spans="1:27" ht="17.25">
      <c r="A80" s="130"/>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row>
    <row r="81" spans="1:27" ht="17.25">
      <c r="A81" s="130"/>
      <c r="B81" s="130"/>
      <c r="C81" s="130"/>
      <c r="D81" s="130"/>
      <c r="E81" s="130"/>
      <c r="F81" s="130"/>
      <c r="G81" s="130"/>
      <c r="H81" s="130"/>
      <c r="I81" s="130"/>
      <c r="J81" s="130"/>
      <c r="K81" s="130"/>
      <c r="L81" s="130"/>
      <c r="M81" s="130"/>
      <c r="N81" s="130"/>
      <c r="O81" s="130"/>
      <c r="P81" s="130"/>
      <c r="Q81" s="130"/>
      <c r="R81" s="130"/>
      <c r="S81" s="130"/>
      <c r="T81" s="130"/>
      <c r="U81" s="130"/>
      <c r="V81" s="130"/>
      <c r="W81" s="130"/>
      <c r="X81" s="130"/>
      <c r="Y81" s="130"/>
      <c r="Z81" s="130"/>
      <c r="AA81" s="130"/>
    </row>
    <row r="82" spans="1:27" ht="17.25">
      <c r="A82" s="130"/>
      <c r="B82" s="130"/>
      <c r="C82" s="130"/>
      <c r="D82" s="130"/>
      <c r="E82" s="130"/>
      <c r="F82" s="130"/>
      <c r="G82" s="130"/>
      <c r="H82" s="130"/>
      <c r="I82" s="130"/>
      <c r="J82" s="130"/>
      <c r="K82" s="130"/>
      <c r="L82" s="130"/>
      <c r="M82" s="130"/>
      <c r="N82" s="130"/>
      <c r="O82" s="130"/>
      <c r="P82" s="130"/>
      <c r="Q82" s="130"/>
      <c r="R82" s="130"/>
      <c r="S82" s="130"/>
      <c r="T82" s="130"/>
      <c r="U82" s="130"/>
      <c r="V82" s="130"/>
      <c r="W82" s="130"/>
      <c r="X82" s="130"/>
      <c r="Y82" s="130"/>
      <c r="Z82" s="130"/>
      <c r="AA82" s="130"/>
    </row>
    <row r="83" spans="1:27" ht="17.25">
      <c r="A83" s="130"/>
      <c r="B83" s="130"/>
      <c r="C83" s="130"/>
      <c r="D83" s="130"/>
      <c r="E83" s="130"/>
      <c r="F83" s="130"/>
      <c r="G83" s="130"/>
      <c r="H83" s="130"/>
      <c r="I83" s="130"/>
      <c r="J83" s="130"/>
      <c r="K83" s="130"/>
      <c r="L83" s="130"/>
      <c r="M83" s="130"/>
      <c r="N83" s="130"/>
      <c r="O83" s="130"/>
      <c r="P83" s="130"/>
      <c r="Q83" s="130"/>
      <c r="R83" s="130"/>
      <c r="S83" s="130"/>
      <c r="T83" s="130"/>
      <c r="U83" s="130"/>
      <c r="V83" s="130"/>
      <c r="W83" s="130"/>
      <c r="X83" s="130"/>
      <c r="Y83" s="130"/>
      <c r="Z83" s="130"/>
      <c r="AA83" s="130"/>
    </row>
    <row r="84" spans="1:27" ht="17.25">
      <c r="A84" s="130"/>
      <c r="B84" s="130"/>
      <c r="C84" s="130"/>
      <c r="D84" s="130"/>
      <c r="E84" s="130"/>
      <c r="F84" s="130"/>
      <c r="G84" s="130"/>
      <c r="H84" s="130"/>
      <c r="I84" s="130"/>
      <c r="J84" s="130"/>
      <c r="K84" s="130"/>
      <c r="L84" s="130"/>
      <c r="M84" s="130"/>
      <c r="N84" s="130"/>
      <c r="O84" s="130"/>
      <c r="P84" s="130"/>
      <c r="Q84" s="130"/>
      <c r="R84" s="130"/>
      <c r="S84" s="130"/>
      <c r="T84" s="130"/>
      <c r="U84" s="130"/>
      <c r="V84" s="130"/>
      <c r="W84" s="130"/>
      <c r="X84" s="130"/>
      <c r="Y84" s="130"/>
      <c r="Z84" s="130"/>
      <c r="AA84" s="130"/>
    </row>
    <row r="85" spans="1:27" ht="17.25">
      <c r="A85" s="130"/>
      <c r="B85" s="130"/>
      <c r="C85" s="130"/>
      <c r="D85" s="130"/>
      <c r="E85" s="130"/>
      <c r="F85" s="130"/>
      <c r="G85" s="130"/>
      <c r="H85" s="130"/>
      <c r="I85" s="130"/>
      <c r="J85" s="130"/>
      <c r="K85" s="130"/>
      <c r="L85" s="130"/>
      <c r="M85" s="130"/>
      <c r="N85" s="130"/>
      <c r="O85" s="130"/>
      <c r="P85" s="130"/>
      <c r="Q85" s="130"/>
      <c r="R85" s="130"/>
      <c r="S85" s="130"/>
      <c r="T85" s="130"/>
      <c r="U85" s="130"/>
      <c r="V85" s="130"/>
      <c r="W85" s="130"/>
      <c r="X85" s="130"/>
      <c r="Y85" s="130"/>
      <c r="Z85" s="130"/>
      <c r="AA85" s="130"/>
    </row>
    <row r="86" spans="1:27" ht="17.25">
      <c r="A86" s="130"/>
      <c r="B86" s="130"/>
      <c r="C86" s="130"/>
      <c r="D86" s="130"/>
      <c r="E86" s="130"/>
      <c r="F86" s="130"/>
      <c r="G86" s="130"/>
      <c r="H86" s="130"/>
      <c r="I86" s="130"/>
      <c r="J86" s="130"/>
      <c r="K86" s="130"/>
      <c r="L86" s="130"/>
      <c r="M86" s="130"/>
      <c r="N86" s="130"/>
      <c r="O86" s="130"/>
      <c r="P86" s="130"/>
      <c r="Q86" s="130"/>
      <c r="R86" s="130"/>
      <c r="S86" s="130"/>
      <c r="T86" s="130"/>
      <c r="U86" s="130"/>
      <c r="V86" s="130"/>
      <c r="W86" s="130"/>
      <c r="X86" s="130"/>
      <c r="Y86" s="130"/>
      <c r="Z86" s="130"/>
      <c r="AA86" s="130"/>
    </row>
    <row r="87" spans="1:27" ht="17.25">
      <c r="A87" s="130"/>
      <c r="B87" s="130"/>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c r="AA87" s="130"/>
    </row>
    <row r="88" spans="1:27" ht="17.25">
      <c r="A88" s="130"/>
      <c r="B88" s="130"/>
      <c r="C88" s="130"/>
      <c r="D88" s="130"/>
      <c r="E88" s="130"/>
      <c r="F88" s="130"/>
      <c r="G88" s="130"/>
      <c r="H88" s="130"/>
      <c r="I88" s="130"/>
      <c r="J88" s="130"/>
      <c r="K88" s="130"/>
      <c r="L88" s="130"/>
      <c r="M88" s="130"/>
      <c r="N88" s="130"/>
      <c r="O88" s="130"/>
      <c r="P88" s="130"/>
      <c r="Q88" s="130"/>
      <c r="R88" s="130"/>
      <c r="S88" s="130"/>
      <c r="T88" s="130"/>
      <c r="U88" s="130"/>
      <c r="V88" s="130"/>
      <c r="W88" s="130"/>
      <c r="X88" s="130"/>
      <c r="Y88" s="130"/>
      <c r="Z88" s="130"/>
      <c r="AA88" s="130"/>
    </row>
    <row r="89" spans="1:27" ht="17.25">
      <c r="A89" s="130"/>
      <c r="B89" s="130"/>
      <c r="C89" s="130"/>
      <c r="D89" s="130"/>
      <c r="E89" s="130"/>
      <c r="F89" s="130"/>
      <c r="G89" s="130"/>
      <c r="H89" s="130"/>
      <c r="I89" s="130"/>
      <c r="J89" s="130"/>
      <c r="K89" s="130"/>
      <c r="L89" s="130"/>
      <c r="M89" s="130"/>
      <c r="N89" s="130"/>
      <c r="O89" s="130"/>
      <c r="P89" s="130"/>
      <c r="Q89" s="130"/>
      <c r="R89" s="130"/>
      <c r="S89" s="130"/>
      <c r="T89" s="130"/>
      <c r="U89" s="130"/>
      <c r="V89" s="130"/>
      <c r="W89" s="130"/>
      <c r="X89" s="130"/>
      <c r="Y89" s="130"/>
      <c r="Z89" s="130"/>
      <c r="AA89" s="130"/>
    </row>
    <row r="90" spans="1:27" ht="17.25">
      <c r="A90" s="130"/>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row>
    <row r="91" spans="1:27" ht="17.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row>
    <row r="92" spans="1:27" ht="17.25">
      <c r="A92" s="130"/>
      <c r="B92" s="130"/>
      <c r="C92" s="130"/>
      <c r="D92" s="130"/>
      <c r="E92" s="130"/>
    </row>
    <row r="93" spans="1:27" ht="17.25">
      <c r="A93" s="130"/>
      <c r="B93" s="130"/>
      <c r="C93" s="130"/>
      <c r="D93" s="130"/>
      <c r="E93" s="130"/>
    </row>
    <row r="94" spans="1:27" ht="17.25">
      <c r="A94" s="130"/>
      <c r="B94" s="130"/>
      <c r="C94" s="130"/>
      <c r="D94" s="130"/>
      <c r="E94" s="130"/>
    </row>
    <row r="95" spans="1:27" ht="17.25">
      <c r="A95" s="130"/>
      <c r="B95" s="130"/>
      <c r="C95" s="130"/>
      <c r="D95" s="130"/>
      <c r="E95" s="130"/>
    </row>
    <row r="96" spans="1:27" ht="17.25">
      <c r="A96" s="130"/>
      <c r="B96" s="130"/>
      <c r="C96" s="130"/>
      <c r="D96" s="130"/>
      <c r="E96" s="130"/>
    </row>
    <row r="97" spans="1:5" ht="17.25">
      <c r="A97" s="130"/>
      <c r="B97" s="130"/>
      <c r="C97" s="130"/>
      <c r="D97" s="130"/>
      <c r="E97" s="130"/>
    </row>
    <row r="98" spans="1:5" ht="17.25">
      <c r="A98" s="130"/>
      <c r="B98" s="130"/>
      <c r="C98" s="130"/>
      <c r="D98" s="130"/>
      <c r="E98" s="130"/>
    </row>
    <row r="99" spans="1:5" ht="17.25">
      <c r="A99" s="130"/>
      <c r="B99" s="130"/>
      <c r="C99" s="130"/>
      <c r="D99" s="130"/>
      <c r="E99" s="130"/>
    </row>
    <row r="100" spans="1:5" ht="17.25">
      <c r="A100" s="130"/>
      <c r="B100" s="130"/>
      <c r="C100" s="130"/>
      <c r="D100" s="130"/>
      <c r="E100" s="130"/>
    </row>
  </sheetData>
  <mergeCells count="22">
    <mergeCell ref="A2:A8"/>
    <mergeCell ref="B2:F2"/>
    <mergeCell ref="G2:G8"/>
    <mergeCell ref="B3:F6"/>
    <mergeCell ref="B7:C8"/>
    <mergeCell ref="D7:E8"/>
    <mergeCell ref="F7:F8"/>
    <mergeCell ref="A11:G11"/>
    <mergeCell ref="A13:G13"/>
    <mergeCell ref="A21:G21"/>
    <mergeCell ref="A36:G36"/>
    <mergeCell ref="A38:G38"/>
    <mergeCell ref="A23:G23"/>
    <mergeCell ref="A25:G25"/>
    <mergeCell ref="A17:F17"/>
    <mergeCell ref="A19:G19"/>
    <mergeCell ref="A42:G42"/>
    <mergeCell ref="A40:G40"/>
    <mergeCell ref="A27:G27"/>
    <mergeCell ref="A29:G29"/>
    <mergeCell ref="A31:G31"/>
    <mergeCell ref="A33:G33"/>
  </mergeCells>
  <phoneticPr fontId="0" type="noConversion"/>
  <printOptions horizontalCentered="1"/>
  <pageMargins left="0.75" right="0.75" top="0.78740157480314965" bottom="0.78740157480314965" header="0" footer="0.39370078740157483"/>
  <pageSetup scale="85" orientation="portrait" horizontalDpi="180" verticalDpi="180" r:id="rId1"/>
  <headerFooter alignWithMargins="0">
    <oddFooter xml:space="preserve">&amp;C&amp;9&amp;P/&amp;N&amp;R&amp;9
</oddFooter>
  </headerFooter>
  <drawing r:id="rId2"/>
</worksheet>
</file>

<file path=xl/worksheets/sheet5.xml><?xml version="1.0" encoding="utf-8"?>
<worksheet xmlns="http://schemas.openxmlformats.org/spreadsheetml/2006/main" xmlns:r="http://schemas.openxmlformats.org/officeDocument/2006/relationships">
  <sheetPr>
    <tabColor theme="9" tint="-0.249977111117893"/>
  </sheetPr>
  <dimension ref="A2:AC231"/>
  <sheetViews>
    <sheetView view="pageBreakPreview" zoomScaleSheetLayoutView="100" workbookViewId="0">
      <selection activeCell="J18" sqref="J18"/>
    </sheetView>
  </sheetViews>
  <sheetFormatPr baseColWidth="10" defaultRowHeight="12.75"/>
  <cols>
    <col min="1" max="1" width="22.42578125" style="165" customWidth="1"/>
    <col min="2" max="2" width="11.42578125" style="165"/>
    <col min="3" max="3" width="19" style="165" customWidth="1"/>
    <col min="4" max="4" width="10.42578125" style="165" customWidth="1"/>
    <col min="5" max="5" width="8.7109375" style="165" customWidth="1"/>
    <col min="6" max="6" width="14.5703125" style="165" customWidth="1"/>
    <col min="7" max="7" width="12" style="165" bestFit="1" customWidth="1"/>
    <col min="8" max="8" width="6.28515625" style="165" customWidth="1"/>
    <col min="9" max="16384" width="11.42578125" style="165"/>
  </cols>
  <sheetData>
    <row r="2" spans="1:8">
      <c r="A2" s="181"/>
      <c r="B2" s="181"/>
      <c r="C2" s="181"/>
      <c r="D2" s="181"/>
      <c r="E2" s="181"/>
      <c r="F2" s="181"/>
      <c r="G2" s="181"/>
      <c r="H2" s="180"/>
    </row>
    <row r="3" spans="1:8">
      <c r="A3" s="200"/>
      <c r="B3" s="200" t="s">
        <v>320</v>
      </c>
      <c r="C3" s="200"/>
      <c r="D3" s="200"/>
      <c r="E3" s="200"/>
      <c r="F3" s="200"/>
      <c r="G3" s="200"/>
      <c r="H3" s="200"/>
    </row>
    <row r="4" spans="1:8">
      <c r="A4" s="200"/>
      <c r="B4" s="201" t="s">
        <v>322</v>
      </c>
      <c r="C4" s="201"/>
      <c r="D4" s="201"/>
      <c r="E4" s="201"/>
      <c r="F4" s="201"/>
      <c r="G4" s="200"/>
      <c r="H4" s="200"/>
    </row>
    <row r="5" spans="1:8">
      <c r="A5" s="200"/>
      <c r="B5" s="201"/>
      <c r="C5" s="201"/>
      <c r="D5" s="201"/>
      <c r="E5" s="201"/>
      <c r="F5" s="201"/>
      <c r="G5" s="200"/>
      <c r="H5" s="200"/>
    </row>
    <row r="6" spans="1:8">
      <c r="A6" s="200"/>
      <c r="B6" s="201"/>
      <c r="C6" s="201"/>
      <c r="D6" s="201"/>
      <c r="E6" s="201"/>
      <c r="F6" s="201"/>
      <c r="G6" s="200"/>
      <c r="H6" s="200"/>
    </row>
    <row r="7" spans="1:8" s="180" customFormat="1" ht="19.5" customHeight="1">
      <c r="A7" s="200"/>
      <c r="B7" s="201"/>
      <c r="C7" s="201"/>
      <c r="D7" s="201"/>
      <c r="E7" s="201"/>
      <c r="F7" s="201"/>
      <c r="G7" s="200"/>
      <c r="H7" s="200"/>
    </row>
    <row r="8" spans="1:8" s="180" customFormat="1">
      <c r="A8" s="200"/>
      <c r="B8" s="201" t="s">
        <v>323</v>
      </c>
      <c r="C8" s="201"/>
      <c r="D8" s="200" t="s">
        <v>332</v>
      </c>
      <c r="E8" s="200"/>
      <c r="F8" s="200" t="s">
        <v>321</v>
      </c>
      <c r="G8" s="200"/>
      <c r="H8" s="200"/>
    </row>
    <row r="9" spans="1:8" s="180" customFormat="1" ht="22.5" customHeight="1">
      <c r="A9" s="200"/>
      <c r="B9" s="201"/>
      <c r="C9" s="201"/>
      <c r="D9" s="200"/>
      <c r="E9" s="200"/>
      <c r="F9" s="200"/>
      <c r="G9" s="200"/>
      <c r="H9" s="200"/>
    </row>
    <row r="10" spans="1:8" s="180" customFormat="1"/>
    <row r="11" spans="1:8" s="180" customFormat="1"/>
    <row r="12" spans="1:8" ht="39.950000000000003" customHeight="1">
      <c r="A12" s="225" t="s">
        <v>338</v>
      </c>
      <c r="B12" s="226"/>
      <c r="C12" s="226"/>
      <c r="D12" s="226"/>
      <c r="E12" s="226"/>
      <c r="F12" s="226"/>
      <c r="G12" s="226"/>
      <c r="H12" s="226"/>
    </row>
    <row r="13" spans="1:8" ht="9.9499999999999993" customHeight="1">
      <c r="A13" s="124"/>
      <c r="B13" s="93"/>
      <c r="C13" s="93"/>
      <c r="D13" s="93"/>
      <c r="E13" s="93"/>
      <c r="F13" s="93"/>
      <c r="G13" s="93"/>
      <c r="H13" s="93"/>
    </row>
    <row r="14" spans="1:8" s="126" customFormat="1" ht="18" customHeight="1">
      <c r="A14" s="228" t="s">
        <v>311</v>
      </c>
      <c r="B14" s="228"/>
      <c r="C14" s="228"/>
      <c r="D14" s="228"/>
      <c r="E14" s="228"/>
      <c r="F14" s="228"/>
      <c r="G14" s="228"/>
      <c r="H14" s="228"/>
    </row>
    <row r="15" spans="1:8" s="126" customFormat="1" ht="9.9499999999999993" customHeight="1">
      <c r="A15" s="167"/>
      <c r="B15" s="167"/>
      <c r="C15" s="167"/>
      <c r="D15" s="167"/>
      <c r="E15" s="167"/>
      <c r="F15" s="167"/>
      <c r="G15" s="167"/>
      <c r="H15" s="167"/>
    </row>
    <row r="16" spans="1:8" s="126" customFormat="1" ht="15" customHeight="1">
      <c r="A16" s="194" t="s">
        <v>209</v>
      </c>
      <c r="B16" s="194"/>
      <c r="C16" s="194"/>
      <c r="D16" s="187"/>
      <c r="E16" s="187"/>
      <c r="F16" s="187"/>
      <c r="G16" s="187"/>
      <c r="H16" s="187"/>
    </row>
    <row r="17" spans="1:29" s="126" customFormat="1" ht="9.9499999999999993" customHeight="1">
      <c r="A17" s="167"/>
      <c r="B17" s="167"/>
      <c r="C17" s="167"/>
      <c r="D17" s="167"/>
      <c r="E17" s="167"/>
      <c r="F17" s="167"/>
      <c r="G17" s="167"/>
      <c r="H17" s="167"/>
    </row>
    <row r="18" spans="1:29" s="126" customFormat="1" ht="131.25" customHeight="1">
      <c r="A18" s="229" t="s">
        <v>333</v>
      </c>
      <c r="B18" s="229"/>
      <c r="C18" s="229"/>
      <c r="D18" s="229"/>
      <c r="E18" s="229"/>
      <c r="F18" s="229"/>
      <c r="G18" s="229"/>
      <c r="H18" s="229"/>
      <c r="K18" s="77"/>
      <c r="L18" s="168"/>
      <c r="M18" s="165"/>
      <c r="N18" s="165"/>
      <c r="O18" s="165"/>
      <c r="P18" s="165"/>
      <c r="Q18" s="165"/>
      <c r="R18" s="165"/>
      <c r="S18" s="165"/>
      <c r="T18" s="165"/>
      <c r="U18" s="165"/>
      <c r="V18" s="165"/>
      <c r="W18" s="165"/>
      <c r="X18" s="165"/>
      <c r="Y18" s="165"/>
      <c r="Z18" s="165"/>
      <c r="AA18" s="165"/>
      <c r="AB18" s="165"/>
      <c r="AC18" s="165"/>
    </row>
    <row r="19" spans="1:29" s="126" customFormat="1" ht="9.9499999999999993" customHeight="1">
      <c r="A19" s="167"/>
      <c r="B19" s="167"/>
      <c r="C19" s="167"/>
      <c r="D19" s="167"/>
      <c r="E19" s="167"/>
      <c r="F19" s="167"/>
      <c r="G19" s="167"/>
      <c r="H19" s="167"/>
    </row>
    <row r="20" spans="1:29" s="126" customFormat="1" ht="12" hidden="1" customHeight="1">
      <c r="A20" s="77" t="s">
        <v>1</v>
      </c>
      <c r="B20" s="166"/>
      <c r="C20" s="166"/>
      <c r="D20" s="166"/>
      <c r="F20" s="166"/>
      <c r="G20" s="166"/>
      <c r="H20" s="166"/>
      <c r="J20" s="77"/>
      <c r="K20" s="77"/>
      <c r="L20" s="168"/>
      <c r="M20" s="165"/>
      <c r="N20" s="165"/>
      <c r="O20" s="165"/>
      <c r="P20" s="165"/>
      <c r="Q20" s="165"/>
      <c r="R20" s="165"/>
      <c r="S20" s="165"/>
      <c r="T20" s="165"/>
      <c r="U20" s="165"/>
      <c r="V20" s="165"/>
      <c r="W20" s="165"/>
      <c r="X20" s="165"/>
      <c r="Y20" s="165"/>
      <c r="Z20" s="165"/>
      <c r="AA20" s="165"/>
      <c r="AB20" s="165"/>
      <c r="AC20" s="165"/>
    </row>
    <row r="21" spans="1:29" s="126" customFormat="1" ht="9" hidden="1" customHeight="1">
      <c r="A21" s="166"/>
      <c r="B21" s="166"/>
      <c r="C21" s="166"/>
      <c r="D21" s="166"/>
      <c r="E21" s="166"/>
      <c r="F21" s="166"/>
      <c r="G21" s="166"/>
      <c r="H21" s="166"/>
      <c r="J21" s="77"/>
      <c r="K21" s="77"/>
      <c r="L21" s="168"/>
      <c r="M21" s="165"/>
      <c r="N21" s="165"/>
      <c r="O21" s="165"/>
      <c r="P21" s="165"/>
      <c r="Q21" s="165"/>
      <c r="R21" s="165"/>
      <c r="S21" s="165"/>
      <c r="T21" s="165"/>
      <c r="U21" s="165"/>
      <c r="V21" s="165"/>
      <c r="W21" s="165"/>
      <c r="X21" s="165"/>
      <c r="Y21" s="165"/>
      <c r="Z21" s="165"/>
      <c r="AA21" s="165"/>
      <c r="AB21" s="165"/>
      <c r="AC21" s="165"/>
    </row>
    <row r="22" spans="1:29" s="126" customFormat="1" ht="12" hidden="1" customHeight="1">
      <c r="A22" s="227" t="s">
        <v>0</v>
      </c>
      <c r="B22" s="227"/>
      <c r="C22" s="227"/>
      <c r="D22" s="227"/>
      <c r="E22" s="227"/>
      <c r="F22" s="227"/>
      <c r="G22" s="166"/>
      <c r="H22" s="166"/>
      <c r="J22" s="77"/>
      <c r="K22" s="77"/>
      <c r="L22" s="168"/>
      <c r="M22" s="165"/>
      <c r="N22" s="165"/>
      <c r="O22" s="165"/>
      <c r="P22" s="165"/>
      <c r="Q22" s="165"/>
      <c r="R22" s="165"/>
      <c r="S22" s="165"/>
      <c r="T22" s="165"/>
      <c r="U22" s="165"/>
      <c r="V22" s="165"/>
      <c r="W22" s="165"/>
      <c r="X22" s="165"/>
      <c r="Y22" s="165"/>
      <c r="Z22" s="165"/>
      <c r="AA22" s="165"/>
      <c r="AB22" s="165"/>
      <c r="AC22" s="165"/>
    </row>
    <row r="23" spans="1:29" s="126" customFormat="1" ht="12" hidden="1" customHeight="1">
      <c r="A23" s="128"/>
      <c r="B23" s="128"/>
      <c r="C23" s="128"/>
      <c r="D23" s="128"/>
      <c r="E23" s="128"/>
      <c r="F23" s="129"/>
      <c r="G23" s="166"/>
      <c r="H23" s="166"/>
      <c r="J23" s="77"/>
      <c r="K23" s="77"/>
      <c r="L23" s="168"/>
      <c r="M23" s="165"/>
      <c r="N23" s="165"/>
      <c r="O23" s="165"/>
      <c r="P23" s="165"/>
      <c r="Q23" s="165"/>
      <c r="R23" s="165"/>
      <c r="S23" s="165"/>
      <c r="T23" s="165"/>
      <c r="U23" s="165"/>
      <c r="V23" s="165"/>
      <c r="W23" s="165"/>
      <c r="X23" s="165"/>
      <c r="Y23" s="165"/>
      <c r="Z23" s="165"/>
      <c r="AA23" s="165"/>
      <c r="AB23" s="165"/>
      <c r="AC23" s="165"/>
    </row>
    <row r="24" spans="1:29" s="126" customFormat="1" ht="36.75" hidden="1" customHeight="1">
      <c r="A24" s="224" t="s">
        <v>244</v>
      </c>
      <c r="B24" s="224"/>
      <c r="C24" s="224"/>
      <c r="D24" s="224"/>
      <c r="E24" s="224"/>
      <c r="F24" s="224"/>
      <c r="G24" s="224"/>
      <c r="H24" s="224"/>
      <c r="J24" s="77"/>
      <c r="K24" s="77"/>
      <c r="L24" s="168"/>
      <c r="M24" s="165"/>
      <c r="N24" s="165"/>
      <c r="O24" s="165"/>
      <c r="P24" s="165"/>
      <c r="Q24" s="165"/>
      <c r="R24" s="165"/>
      <c r="S24" s="165"/>
      <c r="T24" s="165"/>
      <c r="U24" s="165"/>
      <c r="V24" s="165"/>
      <c r="W24" s="165"/>
      <c r="X24" s="165"/>
      <c r="Y24" s="165"/>
      <c r="Z24" s="165"/>
      <c r="AA24" s="165"/>
      <c r="AB24" s="165"/>
      <c r="AC24" s="165"/>
    </row>
    <row r="25" spans="1:29" s="126" customFormat="1" ht="9" hidden="1" customHeight="1">
      <c r="A25" s="128"/>
      <c r="B25" s="128"/>
      <c r="C25" s="128"/>
      <c r="D25" s="128"/>
      <c r="E25" s="128"/>
      <c r="F25" s="129"/>
      <c r="G25" s="166"/>
      <c r="H25" s="166"/>
      <c r="J25" s="77"/>
      <c r="K25" s="77"/>
      <c r="L25" s="168"/>
      <c r="M25" s="165"/>
      <c r="N25" s="165"/>
      <c r="O25" s="165"/>
      <c r="P25" s="165"/>
      <c r="Q25" s="165"/>
      <c r="R25" s="165"/>
      <c r="S25" s="165"/>
      <c r="T25" s="165"/>
      <c r="U25" s="165"/>
      <c r="V25" s="165"/>
      <c r="W25" s="165"/>
      <c r="X25" s="165"/>
      <c r="Y25" s="165"/>
      <c r="Z25" s="165"/>
      <c r="AA25" s="165"/>
      <c r="AB25" s="165"/>
      <c r="AC25" s="165"/>
    </row>
    <row r="26" spans="1:29" s="126" customFormat="1" ht="27" hidden="1" customHeight="1">
      <c r="A26" s="224" t="s">
        <v>237</v>
      </c>
      <c r="B26" s="224"/>
      <c r="C26" s="224"/>
      <c r="D26" s="224"/>
      <c r="E26" s="224"/>
      <c r="F26" s="224"/>
      <c r="G26" s="224"/>
      <c r="H26" s="224"/>
      <c r="J26" s="77"/>
      <c r="K26" s="77"/>
      <c r="L26" s="168"/>
      <c r="M26" s="165"/>
      <c r="N26" s="165"/>
      <c r="O26" s="165"/>
      <c r="P26" s="165"/>
      <c r="Q26" s="165"/>
      <c r="R26" s="165"/>
      <c r="S26" s="165"/>
      <c r="T26" s="165"/>
      <c r="U26" s="165"/>
      <c r="V26" s="165"/>
      <c r="W26" s="165"/>
      <c r="X26" s="165"/>
      <c r="Y26" s="165"/>
      <c r="Z26" s="165"/>
      <c r="AA26" s="165"/>
      <c r="AB26" s="165"/>
      <c r="AC26" s="165"/>
    </row>
    <row r="27" spans="1:29" s="126" customFormat="1" ht="9" hidden="1" customHeight="1">
      <c r="A27" s="128"/>
      <c r="B27" s="128"/>
      <c r="C27" s="128"/>
      <c r="D27" s="128"/>
      <c r="E27" s="128"/>
      <c r="F27" s="129"/>
      <c r="G27" s="166"/>
      <c r="H27" s="166"/>
      <c r="J27" s="77"/>
      <c r="K27" s="77"/>
      <c r="L27" s="168"/>
      <c r="M27" s="165"/>
      <c r="N27" s="165"/>
      <c r="O27" s="165"/>
      <c r="P27" s="165"/>
      <c r="Q27" s="165"/>
      <c r="R27" s="165"/>
      <c r="S27" s="165"/>
      <c r="T27" s="165"/>
      <c r="U27" s="165"/>
      <c r="V27" s="165"/>
      <c r="W27" s="165"/>
      <c r="X27" s="165"/>
      <c r="Y27" s="165"/>
      <c r="Z27" s="165"/>
      <c r="AA27" s="165"/>
      <c r="AB27" s="165"/>
      <c r="AC27" s="165"/>
    </row>
    <row r="28" spans="1:29" s="126" customFormat="1" ht="37.5" hidden="1" customHeight="1">
      <c r="A28" s="224" t="s">
        <v>245</v>
      </c>
      <c r="B28" s="224"/>
      <c r="C28" s="224"/>
      <c r="D28" s="224"/>
      <c r="E28" s="224"/>
      <c r="F28" s="224"/>
      <c r="G28" s="224"/>
      <c r="H28" s="224"/>
      <c r="J28" s="77"/>
      <c r="K28" s="77"/>
      <c r="L28" s="168"/>
      <c r="M28" s="165"/>
      <c r="N28" s="165"/>
      <c r="O28" s="165"/>
      <c r="P28" s="165"/>
      <c r="Q28" s="165"/>
      <c r="R28" s="165"/>
      <c r="S28" s="165"/>
      <c r="T28" s="165"/>
      <c r="U28" s="165"/>
      <c r="V28" s="165"/>
      <c r="W28" s="165"/>
      <c r="X28" s="165"/>
      <c r="Y28" s="165"/>
      <c r="Z28" s="165"/>
      <c r="AA28" s="165"/>
      <c r="AB28" s="165"/>
      <c r="AC28" s="165"/>
    </row>
    <row r="29" spans="1:29" s="126" customFormat="1" ht="9" hidden="1" customHeight="1">
      <c r="A29" s="166"/>
      <c r="B29" s="166"/>
      <c r="C29" s="166"/>
      <c r="D29" s="166"/>
      <c r="E29" s="166"/>
      <c r="F29" s="166"/>
      <c r="G29" s="166"/>
      <c r="H29" s="166"/>
      <c r="J29" s="77"/>
      <c r="K29" s="77"/>
      <c r="L29" s="168"/>
      <c r="M29" s="165"/>
      <c r="N29" s="165"/>
      <c r="O29" s="165"/>
      <c r="P29" s="165"/>
      <c r="Q29" s="165"/>
      <c r="R29" s="165"/>
      <c r="S29" s="165"/>
      <c r="T29" s="165"/>
      <c r="U29" s="165"/>
      <c r="V29" s="165"/>
      <c r="W29" s="165"/>
      <c r="X29" s="165"/>
      <c r="Y29" s="165"/>
      <c r="Z29" s="165"/>
      <c r="AA29" s="165"/>
      <c r="AB29" s="165"/>
      <c r="AC29" s="165"/>
    </row>
    <row r="30" spans="1:29" s="126" customFormat="1" ht="24.75" hidden="1" customHeight="1">
      <c r="A30" s="224" t="s">
        <v>239</v>
      </c>
      <c r="B30" s="224"/>
      <c r="C30" s="224"/>
      <c r="D30" s="224"/>
      <c r="E30" s="224"/>
      <c r="F30" s="224"/>
      <c r="G30" s="224"/>
      <c r="H30" s="224"/>
      <c r="J30" s="77"/>
      <c r="K30" s="77"/>
      <c r="L30" s="168"/>
      <c r="M30" s="165"/>
      <c r="N30" s="165"/>
      <c r="O30" s="165"/>
      <c r="P30" s="165"/>
      <c r="Q30" s="165"/>
      <c r="R30" s="165"/>
      <c r="S30" s="165"/>
      <c r="T30" s="165"/>
      <c r="U30" s="165"/>
      <c r="V30" s="165"/>
      <c r="W30" s="165"/>
      <c r="X30" s="165"/>
      <c r="Y30" s="165"/>
      <c r="Z30" s="165"/>
      <c r="AA30" s="165"/>
      <c r="AB30" s="165"/>
      <c r="AC30" s="165"/>
    </row>
    <row r="31" spans="1:29" s="126" customFormat="1" ht="9" hidden="1" customHeight="1">
      <c r="A31" s="128"/>
      <c r="B31" s="128"/>
      <c r="C31" s="128"/>
      <c r="D31" s="128"/>
      <c r="E31" s="128"/>
      <c r="F31" s="129"/>
      <c r="G31" s="166"/>
      <c r="H31" s="166"/>
      <c r="J31" s="77"/>
      <c r="K31" s="77"/>
      <c r="L31" s="168"/>
      <c r="M31" s="165"/>
      <c r="N31" s="165"/>
      <c r="O31" s="165"/>
      <c r="P31" s="165"/>
      <c r="Q31" s="165"/>
      <c r="R31" s="165"/>
      <c r="S31" s="165"/>
      <c r="T31" s="165"/>
      <c r="U31" s="165"/>
      <c r="V31" s="165"/>
      <c r="W31" s="165"/>
      <c r="X31" s="165"/>
      <c r="Y31" s="165"/>
      <c r="Z31" s="165"/>
      <c r="AA31" s="165"/>
      <c r="AB31" s="165"/>
      <c r="AC31" s="165"/>
    </row>
    <row r="32" spans="1:29" s="126" customFormat="1" ht="28.5" hidden="1" customHeight="1">
      <c r="A32" s="224" t="s">
        <v>240</v>
      </c>
      <c r="B32" s="224"/>
      <c r="C32" s="224"/>
      <c r="D32" s="224"/>
      <c r="E32" s="224"/>
      <c r="F32" s="224"/>
      <c r="G32" s="224"/>
      <c r="H32" s="224"/>
      <c r="J32" s="77"/>
      <c r="K32" s="77"/>
      <c r="L32" s="168"/>
      <c r="M32" s="165"/>
      <c r="N32" s="165"/>
      <c r="O32" s="165"/>
      <c r="P32" s="165"/>
      <c r="Q32" s="165"/>
      <c r="R32" s="165"/>
      <c r="S32" s="165"/>
      <c r="T32" s="165"/>
      <c r="U32" s="165"/>
      <c r="V32" s="165"/>
      <c r="W32" s="165"/>
      <c r="X32" s="165"/>
      <c r="Y32" s="165"/>
      <c r="Z32" s="165"/>
      <c r="AA32" s="165"/>
      <c r="AB32" s="165"/>
      <c r="AC32" s="165"/>
    </row>
    <row r="33" spans="1:29" s="126" customFormat="1" ht="9" hidden="1" customHeight="1">
      <c r="A33" s="128"/>
      <c r="B33" s="128"/>
      <c r="C33" s="128"/>
      <c r="D33" s="128"/>
      <c r="E33" s="128"/>
      <c r="F33" s="129"/>
      <c r="G33" s="166"/>
      <c r="H33" s="166"/>
      <c r="J33" s="77"/>
      <c r="K33" s="77"/>
      <c r="L33" s="168"/>
      <c r="M33" s="165"/>
      <c r="N33" s="165"/>
      <c r="O33" s="165"/>
      <c r="P33" s="165"/>
      <c r="Q33" s="165"/>
      <c r="R33" s="165"/>
      <c r="S33" s="165"/>
      <c r="T33" s="165"/>
      <c r="U33" s="165"/>
      <c r="V33" s="165"/>
      <c r="W33" s="165"/>
      <c r="X33" s="165"/>
      <c r="Y33" s="165"/>
      <c r="Z33" s="165"/>
      <c r="AA33" s="165"/>
      <c r="AB33" s="165"/>
      <c r="AC33" s="165"/>
    </row>
    <row r="34" spans="1:29" s="126" customFormat="1" ht="26.25" hidden="1" customHeight="1">
      <c r="A34" s="224" t="s">
        <v>241</v>
      </c>
      <c r="B34" s="224"/>
      <c r="C34" s="224"/>
      <c r="D34" s="224"/>
      <c r="E34" s="224"/>
      <c r="F34" s="224"/>
      <c r="G34" s="224"/>
      <c r="H34" s="224"/>
      <c r="J34" s="77"/>
      <c r="K34" s="77"/>
      <c r="L34" s="168"/>
      <c r="M34" s="165"/>
      <c r="N34" s="165"/>
      <c r="O34" s="165"/>
      <c r="P34" s="165"/>
      <c r="Q34" s="165"/>
      <c r="R34" s="165"/>
      <c r="S34" s="165"/>
      <c r="T34" s="165"/>
      <c r="U34" s="165"/>
      <c r="V34" s="165"/>
      <c r="W34" s="165"/>
      <c r="X34" s="165"/>
      <c r="Y34" s="165"/>
      <c r="Z34" s="165"/>
      <c r="AA34" s="165"/>
      <c r="AB34" s="165"/>
      <c r="AC34" s="165"/>
    </row>
    <row r="35" spans="1:29" s="126" customFormat="1" ht="9" hidden="1" customHeight="1">
      <c r="A35" s="128"/>
      <c r="B35" s="128"/>
      <c r="C35" s="128"/>
      <c r="D35" s="128"/>
      <c r="E35" s="128"/>
      <c r="F35" s="129"/>
      <c r="G35" s="166"/>
      <c r="H35" s="166"/>
      <c r="J35" s="77"/>
      <c r="K35" s="77"/>
      <c r="L35" s="168"/>
      <c r="M35" s="165"/>
      <c r="N35" s="165"/>
      <c r="O35" s="165"/>
      <c r="P35" s="165"/>
      <c r="Q35" s="165"/>
      <c r="R35" s="165"/>
      <c r="S35" s="165"/>
      <c r="T35" s="165"/>
      <c r="U35" s="165"/>
      <c r="V35" s="165"/>
      <c r="W35" s="165"/>
      <c r="X35" s="165"/>
      <c r="Y35" s="165"/>
      <c r="Z35" s="165"/>
      <c r="AA35" s="165"/>
      <c r="AB35" s="165"/>
      <c r="AC35" s="165"/>
    </row>
    <row r="36" spans="1:29" s="126" customFormat="1" ht="51.75" hidden="1" customHeight="1">
      <c r="A36" s="224" t="s">
        <v>246</v>
      </c>
      <c r="B36" s="224"/>
      <c r="C36" s="224"/>
      <c r="D36" s="224"/>
      <c r="E36" s="224"/>
      <c r="F36" s="224"/>
      <c r="G36" s="224"/>
      <c r="H36" s="224"/>
      <c r="J36" s="77"/>
      <c r="K36" s="77"/>
      <c r="L36" s="168"/>
      <c r="M36" s="165"/>
      <c r="N36" s="165"/>
      <c r="O36" s="165"/>
      <c r="P36" s="165"/>
      <c r="Q36" s="165"/>
      <c r="R36" s="165"/>
      <c r="S36" s="165"/>
      <c r="T36" s="165"/>
      <c r="U36" s="165"/>
      <c r="V36" s="165"/>
      <c r="W36" s="165"/>
      <c r="X36" s="165"/>
      <c r="Y36" s="165"/>
      <c r="Z36" s="165"/>
      <c r="AA36" s="165"/>
      <c r="AB36" s="165"/>
      <c r="AC36" s="165"/>
    </row>
    <row r="37" spans="1:29" s="126" customFormat="1" ht="9" hidden="1" customHeight="1">
      <c r="A37" s="128"/>
      <c r="B37" s="128"/>
      <c r="C37" s="128"/>
      <c r="D37" s="128"/>
      <c r="E37" s="128"/>
      <c r="F37" s="129"/>
      <c r="G37" s="166"/>
      <c r="H37" s="166"/>
      <c r="J37" s="77"/>
      <c r="K37" s="77"/>
      <c r="L37" s="168"/>
      <c r="M37" s="165"/>
      <c r="N37" s="165"/>
      <c r="O37" s="165"/>
      <c r="P37" s="165"/>
      <c r="Q37" s="165"/>
      <c r="R37" s="165"/>
      <c r="S37" s="165"/>
      <c r="T37" s="165"/>
      <c r="U37" s="165"/>
      <c r="V37" s="165"/>
      <c r="W37" s="165"/>
      <c r="X37" s="165"/>
      <c r="Y37" s="165"/>
      <c r="Z37" s="165"/>
      <c r="AA37" s="165"/>
      <c r="AB37" s="165"/>
      <c r="AC37" s="165"/>
    </row>
    <row r="38" spans="1:29" s="126" customFormat="1" ht="27" hidden="1" customHeight="1">
      <c r="A38" s="224" t="s">
        <v>247</v>
      </c>
      <c r="B38" s="224"/>
      <c r="C38" s="224"/>
      <c r="D38" s="224"/>
      <c r="E38" s="224"/>
      <c r="F38" s="224"/>
      <c r="G38" s="224"/>
      <c r="H38" s="224"/>
      <c r="J38" s="77"/>
      <c r="K38" s="77"/>
      <c r="L38" s="168"/>
      <c r="M38" s="165"/>
      <c r="N38" s="165"/>
      <c r="O38" s="165"/>
      <c r="P38" s="165"/>
      <c r="Q38" s="165"/>
      <c r="R38" s="165"/>
      <c r="S38" s="165"/>
      <c r="T38" s="165"/>
      <c r="U38" s="165"/>
      <c r="V38" s="165"/>
      <c r="W38" s="165"/>
      <c r="X38" s="165"/>
      <c r="Y38" s="165"/>
      <c r="Z38" s="165"/>
      <c r="AA38" s="165"/>
      <c r="AB38" s="165"/>
      <c r="AC38" s="165"/>
    </row>
    <row r="39" spans="1:29" s="126" customFormat="1" ht="15" hidden="1" customHeight="1">
      <c r="A39" s="77"/>
      <c r="B39" s="166"/>
      <c r="C39" s="166"/>
      <c r="D39" s="166"/>
      <c r="E39" s="166"/>
      <c r="F39" s="166"/>
      <c r="G39" s="166"/>
      <c r="H39" s="166"/>
      <c r="J39" s="77"/>
      <c r="K39" s="77"/>
      <c r="L39" s="168"/>
      <c r="M39" s="165"/>
      <c r="N39" s="165"/>
      <c r="O39" s="165"/>
      <c r="P39" s="165"/>
      <c r="Q39" s="165"/>
      <c r="R39" s="165"/>
      <c r="S39" s="165"/>
      <c r="T39" s="165"/>
      <c r="U39" s="165"/>
      <c r="V39" s="165"/>
      <c r="W39" s="165"/>
      <c r="X39" s="165"/>
      <c r="Y39" s="165"/>
      <c r="Z39" s="165"/>
      <c r="AA39" s="165"/>
      <c r="AB39" s="165"/>
      <c r="AC39" s="165"/>
    </row>
    <row r="40" spans="1:29" s="126" customFormat="1" ht="15" customHeight="1">
      <c r="A40" s="194" t="s">
        <v>266</v>
      </c>
      <c r="B40" s="194"/>
      <c r="C40" s="194"/>
      <c r="D40" s="187"/>
      <c r="E40" s="187"/>
      <c r="F40" s="187"/>
      <c r="G40" s="187"/>
      <c r="H40" s="187"/>
    </row>
    <row r="41" spans="1:29" ht="9" customHeight="1">
      <c r="A41" s="77"/>
      <c r="P41" s="131"/>
    </row>
    <row r="42" spans="1:29" ht="15" customHeight="1">
      <c r="A42" s="165" t="s">
        <v>130</v>
      </c>
      <c r="D42" s="147">
        <v>20</v>
      </c>
      <c r="E42" s="165" t="s">
        <v>128</v>
      </c>
      <c r="P42" s="131"/>
    </row>
    <row r="43" spans="1:29" ht="15" customHeight="1">
      <c r="A43" s="165" t="s">
        <v>75</v>
      </c>
      <c r="D43" s="132">
        <f>LOOKUP(D42,'Viscosidad, Numero Hazen'!A5:A35,'Viscosidad, Numero Hazen'!E5:E35)</f>
        <v>1.0107890967011611E-2</v>
      </c>
      <c r="E43" s="165" t="s">
        <v>248</v>
      </c>
      <c r="P43" s="131"/>
    </row>
    <row r="44" spans="1:29" ht="15" customHeight="1">
      <c r="A44" s="165" t="s">
        <v>76</v>
      </c>
      <c r="D44" s="147">
        <v>0.02</v>
      </c>
      <c r="E44" s="165" t="s">
        <v>64</v>
      </c>
      <c r="P44" s="131"/>
    </row>
    <row r="45" spans="1:29" ht="15" customHeight="1">
      <c r="A45" s="165" t="s">
        <v>77</v>
      </c>
      <c r="D45" s="147">
        <v>87.5</v>
      </c>
      <c r="E45" s="165" t="s">
        <v>65</v>
      </c>
      <c r="P45" s="131"/>
    </row>
    <row r="46" spans="1:29" ht="15" customHeight="1">
      <c r="A46" s="165" t="s">
        <v>78</v>
      </c>
      <c r="D46" s="147">
        <v>981</v>
      </c>
      <c r="E46" s="165" t="s">
        <v>249</v>
      </c>
      <c r="P46" s="131"/>
    </row>
    <row r="47" spans="1:29" ht="15" customHeight="1">
      <c r="A47" s="165" t="s">
        <v>250</v>
      </c>
      <c r="D47" s="134">
        <v>2.65</v>
      </c>
      <c r="E47" s="165" t="s">
        <v>251</v>
      </c>
      <c r="F47" s="90" t="s">
        <v>190</v>
      </c>
      <c r="P47" s="131"/>
      <c r="V47" s="133"/>
      <c r="W47" s="133"/>
      <c r="X47" s="133"/>
      <c r="Y47" s="133"/>
      <c r="Z47" s="133"/>
      <c r="AA47" s="133"/>
      <c r="AB47" s="133"/>
      <c r="AC47" s="133"/>
    </row>
    <row r="48" spans="1:29" ht="15" customHeight="1">
      <c r="A48" s="165" t="s">
        <v>252</v>
      </c>
      <c r="D48" s="134">
        <v>1</v>
      </c>
      <c r="E48" s="165" t="s">
        <v>251</v>
      </c>
      <c r="J48" s="128"/>
      <c r="K48" s="128"/>
      <c r="L48" s="128"/>
      <c r="M48" s="128"/>
      <c r="N48" s="128"/>
      <c r="O48" s="129"/>
      <c r="P48" s="131"/>
      <c r="V48" s="133"/>
      <c r="W48" s="133"/>
      <c r="X48" s="133"/>
      <c r="Y48" s="133"/>
      <c r="Z48" s="133"/>
      <c r="AA48" s="133"/>
      <c r="AB48" s="133"/>
      <c r="AC48" s="133"/>
    </row>
    <row r="49" spans="1:29" s="77" customFormat="1" ht="9.9499999999999993" customHeight="1">
      <c r="A49" s="166"/>
      <c r="B49" s="166"/>
      <c r="C49" s="166"/>
      <c r="D49" s="166"/>
      <c r="E49" s="166"/>
      <c r="F49" s="166"/>
      <c r="G49" s="166"/>
    </row>
    <row r="50" spans="1:29" s="77" customFormat="1" ht="15" customHeight="1">
      <c r="A50" s="194" t="s">
        <v>267</v>
      </c>
      <c r="B50" s="194"/>
      <c r="C50" s="194"/>
      <c r="D50" s="187"/>
      <c r="E50" s="187"/>
      <c r="F50" s="187"/>
      <c r="G50" s="187"/>
      <c r="H50" s="187"/>
    </row>
    <row r="51" spans="1:29" s="77" customFormat="1" ht="9.9499999999999993" customHeight="1">
      <c r="B51" s="81"/>
      <c r="C51" s="81"/>
      <c r="D51" s="81"/>
      <c r="E51" s="81"/>
      <c r="F51" s="81"/>
      <c r="G51" s="81"/>
    </row>
    <row r="52" spans="1:29" ht="15" customHeight="1">
      <c r="A52" s="194" t="s">
        <v>268</v>
      </c>
      <c r="B52" s="187"/>
      <c r="C52" s="187"/>
      <c r="D52" s="187"/>
      <c r="E52" s="187"/>
      <c r="F52" s="187"/>
      <c r="G52" s="187"/>
      <c r="H52" s="187"/>
      <c r="P52" s="131"/>
      <c r="V52" s="133"/>
      <c r="W52" s="133"/>
      <c r="X52" s="133"/>
      <c r="Y52" s="133"/>
      <c r="Z52" s="133"/>
      <c r="AA52" s="133"/>
      <c r="AB52" s="133"/>
      <c r="AC52" s="133"/>
    </row>
    <row r="53" spans="1:29" ht="9.9499999999999993" customHeight="1">
      <c r="A53" s="77"/>
      <c r="P53" s="131"/>
      <c r="V53" s="133"/>
      <c r="W53" s="133"/>
      <c r="X53" s="133"/>
      <c r="Y53" s="133"/>
      <c r="Z53" s="133"/>
      <c r="AA53" s="133"/>
      <c r="AB53" s="133"/>
      <c r="AC53" s="133"/>
    </row>
    <row r="54" spans="1:29" ht="15" customHeight="1">
      <c r="A54" s="229" t="s">
        <v>131</v>
      </c>
      <c r="B54" s="229"/>
      <c r="C54" s="229"/>
      <c r="D54" s="229"/>
      <c r="E54" s="229"/>
      <c r="F54" s="229"/>
      <c r="G54" s="229"/>
      <c r="H54" s="229"/>
      <c r="P54" s="131"/>
      <c r="V54" s="133"/>
      <c r="W54" s="133"/>
      <c r="X54" s="133"/>
      <c r="Y54" s="133"/>
      <c r="Z54" s="133"/>
      <c r="AA54" s="133"/>
      <c r="AB54" s="133"/>
      <c r="AC54" s="133"/>
    </row>
    <row r="55" spans="1:29" ht="9.9499999999999993" customHeight="1">
      <c r="P55" s="131"/>
      <c r="V55" s="133"/>
      <c r="W55" s="133"/>
      <c r="X55" s="133"/>
      <c r="Y55" s="133"/>
      <c r="Z55" s="133"/>
      <c r="AA55" s="133"/>
      <c r="AB55" s="133"/>
      <c r="AC55" s="133"/>
    </row>
    <row r="56" spans="1:29" s="77" customFormat="1" ht="15" customHeight="1">
      <c r="B56" s="135"/>
      <c r="C56" s="230" t="s">
        <v>253</v>
      </c>
      <c r="D56" s="230"/>
      <c r="E56" s="230"/>
      <c r="F56" s="231" t="s">
        <v>132</v>
      </c>
      <c r="G56" s="232"/>
      <c r="H56" s="135"/>
      <c r="P56" s="131"/>
      <c r="Q56" s="165"/>
      <c r="R56" s="165"/>
      <c r="S56" s="165"/>
      <c r="T56" s="165"/>
      <c r="U56" s="165"/>
      <c r="V56" s="87"/>
      <c r="W56" s="87"/>
      <c r="X56" s="87"/>
      <c r="Y56" s="87"/>
      <c r="Z56" s="87"/>
      <c r="AA56" s="87"/>
      <c r="AB56" s="87"/>
      <c r="AC56" s="87"/>
    </row>
    <row r="57" spans="1:29" ht="9.9499999999999993" customHeight="1">
      <c r="P57" s="131"/>
      <c r="V57" s="133"/>
      <c r="W57" s="133"/>
      <c r="X57" s="133"/>
      <c r="Y57" s="133"/>
      <c r="Z57" s="133"/>
      <c r="AA57" s="133"/>
      <c r="AB57" s="133"/>
      <c r="AC57" s="133"/>
    </row>
    <row r="58" spans="1:29" ht="15" customHeight="1">
      <c r="C58" s="190" t="s">
        <v>254</v>
      </c>
      <c r="D58" s="190"/>
      <c r="E58" s="190"/>
      <c r="F58" s="77" t="s">
        <v>284</v>
      </c>
      <c r="P58" s="131"/>
      <c r="V58" s="133"/>
      <c r="W58" s="133"/>
      <c r="X58" s="133"/>
      <c r="Y58" s="133"/>
      <c r="Z58" s="133"/>
      <c r="AA58" s="133"/>
      <c r="AB58" s="133"/>
      <c r="AC58" s="133"/>
    </row>
    <row r="59" spans="1:29" ht="9.9499999999999993" customHeight="1">
      <c r="P59" s="131"/>
      <c r="V59" s="133"/>
      <c r="W59" s="133"/>
      <c r="X59" s="133"/>
      <c r="Y59" s="133"/>
      <c r="Z59" s="133"/>
      <c r="AA59" s="133"/>
      <c r="AB59" s="133"/>
      <c r="AC59" s="133"/>
    </row>
    <row r="60" spans="1:29" ht="15" customHeight="1">
      <c r="C60" s="84" t="s">
        <v>255</v>
      </c>
      <c r="D60" s="83">
        <f>(D46*(D47-D48)*D44^2)/(18*D43)</f>
        <v>3.558605857284439</v>
      </c>
      <c r="E60" s="165" t="s">
        <v>66</v>
      </c>
      <c r="P60" s="131"/>
      <c r="V60" s="133"/>
      <c r="W60" s="133"/>
      <c r="X60" s="133"/>
      <c r="Y60" s="133"/>
      <c r="Z60" s="133"/>
      <c r="AA60" s="133"/>
      <c r="AB60" s="133"/>
      <c r="AC60" s="133"/>
    </row>
    <row r="61" spans="1:29" ht="15" customHeight="1">
      <c r="A61" s="165" t="s">
        <v>256</v>
      </c>
      <c r="D61" s="134">
        <v>2.1</v>
      </c>
      <c r="E61" s="165" t="s">
        <v>66</v>
      </c>
      <c r="F61" s="77" t="s">
        <v>284</v>
      </c>
      <c r="P61" s="131"/>
      <c r="V61" s="133"/>
      <c r="W61" s="133"/>
      <c r="X61" s="133"/>
      <c r="Y61" s="133"/>
      <c r="Z61" s="133"/>
      <c r="AA61" s="133"/>
      <c r="AB61" s="133"/>
      <c r="AC61" s="133"/>
    </row>
    <row r="62" spans="1:29" ht="15" customHeight="1">
      <c r="A62" s="165" t="s">
        <v>272</v>
      </c>
      <c r="D62" s="83">
        <f>+D61*((D42+23.3)/33.3)</f>
        <v>2.7306306306306309</v>
      </c>
      <c r="E62" s="165" t="s">
        <v>66</v>
      </c>
    </row>
    <row r="63" spans="1:29" ht="9.9499999999999993" customHeight="1">
      <c r="D63" s="89"/>
    </row>
    <row r="64" spans="1:29" ht="15" customHeight="1">
      <c r="A64" s="77" t="s">
        <v>257</v>
      </c>
      <c r="B64" s="77"/>
      <c r="C64" s="77"/>
      <c r="D64" s="148">
        <f>(+D62+D60)/2</f>
        <v>3.144618243957535</v>
      </c>
      <c r="E64" s="77" t="s">
        <v>66</v>
      </c>
    </row>
    <row r="65" spans="1:29" s="77" customFormat="1" ht="9.9499999999999993" customHeight="1">
      <c r="B65" s="81"/>
      <c r="C65" s="81"/>
      <c r="D65" s="81"/>
      <c r="E65" s="81"/>
      <c r="F65" s="81"/>
      <c r="G65" s="81"/>
    </row>
    <row r="66" spans="1:29" ht="15" customHeight="1">
      <c r="A66" s="194" t="s">
        <v>269</v>
      </c>
      <c r="B66" s="187"/>
      <c r="C66" s="187"/>
      <c r="D66" s="187"/>
      <c r="E66" s="187"/>
      <c r="F66" s="187"/>
      <c r="G66" s="187"/>
      <c r="H66" s="187"/>
      <c r="P66" s="131"/>
      <c r="V66" s="133"/>
      <c r="W66" s="133"/>
      <c r="X66" s="133"/>
      <c r="Y66" s="133"/>
      <c r="Z66" s="133"/>
      <c r="AA66" s="133"/>
      <c r="AB66" s="133"/>
      <c r="AC66" s="133"/>
    </row>
    <row r="67" spans="1:29" ht="9.9499999999999993" customHeight="1">
      <c r="A67" s="77"/>
      <c r="P67" s="131"/>
      <c r="V67" s="133"/>
      <c r="W67" s="133"/>
      <c r="X67" s="133"/>
      <c r="Y67" s="133"/>
      <c r="Z67" s="133"/>
      <c r="AA67" s="133"/>
      <c r="AB67" s="133"/>
      <c r="AC67" s="133"/>
    </row>
    <row r="68" spans="1:29" ht="15" customHeight="1">
      <c r="A68" s="77" t="s">
        <v>86</v>
      </c>
      <c r="B68" s="77"/>
      <c r="C68" s="77"/>
      <c r="D68" s="136"/>
      <c r="E68" s="77"/>
    </row>
    <row r="69" spans="1:29" ht="15" customHeight="1">
      <c r="A69" s="165" t="s">
        <v>89</v>
      </c>
      <c r="C69" s="84" t="s">
        <v>90</v>
      </c>
      <c r="D69" s="134">
        <v>0.88</v>
      </c>
      <c r="E69" s="165" t="s">
        <v>54</v>
      </c>
    </row>
    <row r="70" spans="1:29" ht="15" customHeight="1">
      <c r="A70" s="165" t="s">
        <v>91</v>
      </c>
      <c r="C70" s="84" t="s">
        <v>92</v>
      </c>
      <c r="D70" s="134">
        <v>2.84</v>
      </c>
      <c r="E70" s="165" t="s">
        <v>54</v>
      </c>
    </row>
    <row r="71" spans="1:29" ht="15" customHeight="1">
      <c r="A71" s="165" t="s">
        <v>93</v>
      </c>
      <c r="C71" s="84" t="s">
        <v>94</v>
      </c>
      <c r="D71" s="134">
        <v>0.8</v>
      </c>
      <c r="E71" s="165" t="s">
        <v>54</v>
      </c>
    </row>
    <row r="72" spans="1:29" ht="15" customHeight="1">
      <c r="A72" s="86" t="s">
        <v>96</v>
      </c>
      <c r="B72" s="84"/>
      <c r="C72" s="84" t="s">
        <v>95</v>
      </c>
      <c r="D72" s="85">
        <f>+D71*D70*D69</f>
        <v>1.9993599999999998</v>
      </c>
      <c r="E72" s="165" t="s">
        <v>258</v>
      </c>
      <c r="F72" s="89"/>
    </row>
    <row r="73" spans="1:29" ht="9.9499999999999993" customHeight="1">
      <c r="A73" s="86"/>
      <c r="B73" s="84"/>
      <c r="C73" s="84"/>
      <c r="D73" s="83"/>
      <c r="F73" s="89"/>
    </row>
    <row r="74" spans="1:29" ht="15" customHeight="1">
      <c r="A74" s="77" t="s">
        <v>97</v>
      </c>
      <c r="B74" s="77"/>
      <c r="C74" s="77"/>
      <c r="D74" s="149">
        <f>+D69*100/D64</f>
        <v>27.9843189770632</v>
      </c>
      <c r="E74" s="77" t="s">
        <v>67</v>
      </c>
    </row>
    <row r="75" spans="1:29" s="77" customFormat="1" ht="9.9499999999999993" customHeight="1">
      <c r="B75" s="81"/>
      <c r="C75" s="81"/>
      <c r="D75" s="81"/>
      <c r="E75" s="81"/>
      <c r="F75" s="81"/>
      <c r="G75" s="81"/>
    </row>
    <row r="76" spans="1:29" ht="15" customHeight="1">
      <c r="A76" s="194" t="s">
        <v>270</v>
      </c>
      <c r="B76" s="187"/>
      <c r="C76" s="187"/>
      <c r="D76" s="187"/>
      <c r="E76" s="187"/>
      <c r="F76" s="187"/>
      <c r="G76" s="187"/>
      <c r="H76" s="187"/>
      <c r="P76" s="131"/>
      <c r="V76" s="133"/>
      <c r="W76" s="133"/>
      <c r="X76" s="133"/>
      <c r="Y76" s="133"/>
      <c r="Z76" s="133"/>
      <c r="AA76" s="133"/>
      <c r="AB76" s="133"/>
      <c r="AC76" s="133"/>
    </row>
    <row r="77" spans="1:29" ht="9.9499999999999993" customHeight="1">
      <c r="A77" s="77"/>
      <c r="P77" s="131"/>
      <c r="V77" s="133"/>
      <c r="W77" s="133"/>
      <c r="X77" s="133"/>
      <c r="Y77" s="133"/>
      <c r="Z77" s="133"/>
      <c r="AA77" s="133"/>
      <c r="AB77" s="133"/>
      <c r="AC77" s="133"/>
    </row>
    <row r="78" spans="1:29" ht="15" customHeight="1">
      <c r="C78" s="137" t="s">
        <v>85</v>
      </c>
      <c r="D78" s="138">
        <v>2</v>
      </c>
    </row>
    <row r="79" spans="1:29" ht="15" customHeight="1">
      <c r="A79" s="139" t="s">
        <v>81</v>
      </c>
      <c r="D79" s="109">
        <v>1</v>
      </c>
    </row>
    <row r="80" spans="1:29" ht="15" customHeight="1">
      <c r="A80" s="139" t="s">
        <v>83</v>
      </c>
      <c r="D80" s="109">
        <v>2</v>
      </c>
    </row>
    <row r="81" spans="1:29" ht="15" customHeight="1">
      <c r="A81" s="139" t="s">
        <v>84</v>
      </c>
      <c r="D81" s="109">
        <v>3</v>
      </c>
    </row>
    <row r="82" spans="1:29" ht="15" customHeight="1">
      <c r="A82" s="165" t="s">
        <v>133</v>
      </c>
      <c r="D82" s="83"/>
      <c r="E82" s="84"/>
      <c r="F82" s="86">
        <f>IF(H82=87.5,LOOKUP(D78,'Viscosidad, Numero Hazen'!B40:B42,'Viscosidad, Numero Hazen'!C40:C42),LOOKUP(D78,'Viscosidad, Numero Hazen'!B40:B42,'Viscosidad, Numero Hazen'!D40:D42))</f>
        <v>2.75</v>
      </c>
      <c r="G82" s="84" t="s">
        <v>80</v>
      </c>
      <c r="H82" s="150">
        <f>+D45</f>
        <v>87.5</v>
      </c>
    </row>
    <row r="83" spans="1:29" ht="9.9499999999999993" customHeight="1">
      <c r="D83" s="83"/>
      <c r="E83" s="84"/>
      <c r="F83" s="86"/>
      <c r="G83" s="84"/>
      <c r="H83" s="86"/>
    </row>
    <row r="84" spans="1:29" ht="15" customHeight="1">
      <c r="A84" s="140" t="s">
        <v>79</v>
      </c>
      <c r="B84" s="141"/>
      <c r="C84" s="141"/>
      <c r="D84" s="170">
        <v>20</v>
      </c>
      <c r="E84" s="140" t="s">
        <v>118</v>
      </c>
      <c r="F84" s="233" t="str">
        <f>+IF(D84&gt;=20,"OK, cumple Resolución 1096, artículo 109 del RAS/2.000","No cumple Resolución 1096, artículo 109 del RAS/2.000 (a &gt; 20 min)")</f>
        <v>OK, cumple Resolución 1096, artículo 109 del RAS/2.000</v>
      </c>
      <c r="G84" s="233"/>
      <c r="H84" s="233"/>
    </row>
    <row r="85" spans="1:29" ht="15" customHeight="1">
      <c r="D85" s="171" t="s">
        <v>312</v>
      </c>
      <c r="F85" s="233"/>
      <c r="G85" s="233"/>
      <c r="H85" s="233"/>
    </row>
    <row r="86" spans="1:29" s="77" customFormat="1" ht="9.9499999999999993" customHeight="1">
      <c r="B86" s="81"/>
      <c r="C86" s="81"/>
      <c r="D86" s="81"/>
      <c r="E86" s="81"/>
      <c r="F86" s="81"/>
      <c r="G86" s="81"/>
    </row>
    <row r="87" spans="1:29" ht="15" customHeight="1">
      <c r="A87" s="194" t="s">
        <v>273</v>
      </c>
      <c r="B87" s="187"/>
      <c r="C87" s="187"/>
      <c r="D87" s="187"/>
      <c r="E87" s="187"/>
      <c r="F87" s="187"/>
      <c r="G87" s="187"/>
      <c r="H87" s="187"/>
      <c r="P87" s="131"/>
      <c r="V87" s="133"/>
      <c r="W87" s="133"/>
      <c r="X87" s="133"/>
      <c r="Y87" s="133"/>
      <c r="Z87" s="133"/>
      <c r="AA87" s="133"/>
      <c r="AB87" s="133"/>
      <c r="AC87" s="133"/>
    </row>
    <row r="88" spans="1:29" ht="9.9499999999999993" customHeight="1">
      <c r="A88" s="77"/>
      <c r="P88" s="131"/>
      <c r="V88" s="133"/>
      <c r="W88" s="133"/>
      <c r="X88" s="133"/>
      <c r="Y88" s="133"/>
      <c r="Z88" s="133"/>
      <c r="AA88" s="133"/>
      <c r="AB88" s="133"/>
      <c r="AC88" s="133"/>
    </row>
    <row r="89" spans="1:29" ht="15" customHeight="1">
      <c r="C89" s="169" t="s">
        <v>123</v>
      </c>
      <c r="E89" s="137" t="s">
        <v>271</v>
      </c>
      <c r="F89" s="114">
        <f>ROUND((1000*D72/D84/60),1)</f>
        <v>1.7</v>
      </c>
      <c r="G89" s="77" t="s">
        <v>129</v>
      </c>
    </row>
    <row r="90" spans="1:29" ht="9.9499999999999993" customHeight="1">
      <c r="D90" s="89"/>
    </row>
    <row r="91" spans="1:29" ht="30" customHeight="1">
      <c r="A91" s="229" t="str">
        <f>+CONCATENATE("De acuerdo con lo anterior, el desarenador existente según las consideraciones hidráulicas teóricas usadas para el presente proyecto, tiene una capacidad máxima de tratar hasta ",F89,"L/s.")</f>
        <v>De acuerdo con lo anterior, el desarenador existente según las consideraciones hidráulicas teóricas usadas para el presente proyecto, tiene una capacidad máxima de tratar hasta 1,7L/s.</v>
      </c>
      <c r="B91" s="229"/>
      <c r="C91" s="229"/>
      <c r="D91" s="229"/>
      <c r="E91" s="229"/>
      <c r="F91" s="229"/>
      <c r="G91" s="229"/>
      <c r="H91" s="229"/>
    </row>
    <row r="92" spans="1:29" s="77" customFormat="1" ht="9.9499999999999993" customHeight="1">
      <c r="B92" s="81"/>
      <c r="C92" s="81"/>
      <c r="D92" s="81"/>
      <c r="E92" s="81"/>
      <c r="F92" s="81"/>
      <c r="G92" s="81"/>
    </row>
    <row r="93" spans="1:29" ht="15" customHeight="1">
      <c r="A93" s="194" t="s">
        <v>274</v>
      </c>
      <c r="B93" s="187"/>
      <c r="C93" s="187"/>
      <c r="D93" s="187"/>
      <c r="E93" s="187"/>
      <c r="F93" s="187"/>
      <c r="G93" s="187"/>
      <c r="H93" s="187"/>
      <c r="P93" s="131"/>
      <c r="V93" s="133"/>
      <c r="W93" s="133"/>
      <c r="X93" s="133"/>
      <c r="Y93" s="133"/>
      <c r="Z93" s="133"/>
      <c r="AA93" s="133"/>
      <c r="AB93" s="133"/>
      <c r="AC93" s="133"/>
    </row>
    <row r="94" spans="1:29" ht="9.9499999999999993" customHeight="1">
      <c r="A94" s="77"/>
      <c r="P94" s="131"/>
      <c r="V94" s="133"/>
      <c r="W94" s="133"/>
      <c r="X94" s="133"/>
      <c r="Y94" s="133"/>
      <c r="Z94" s="133"/>
      <c r="AA94" s="133"/>
      <c r="AB94" s="133"/>
      <c r="AC94" s="133"/>
    </row>
    <row r="95" spans="1:29" ht="15" customHeight="1">
      <c r="C95" s="230" t="s">
        <v>259</v>
      </c>
      <c r="D95" s="230"/>
      <c r="E95" s="230"/>
    </row>
    <row r="96" spans="1:29" ht="9.9499999999999993" customHeight="1">
      <c r="A96" s="77"/>
      <c r="P96" s="131"/>
      <c r="V96" s="133"/>
      <c r="W96" s="133"/>
      <c r="X96" s="133"/>
      <c r="Y96" s="133"/>
      <c r="Z96" s="133"/>
      <c r="AA96" s="133"/>
      <c r="AB96" s="133"/>
      <c r="AC96" s="133"/>
    </row>
    <row r="97" spans="1:29" ht="15" customHeight="1">
      <c r="A97" s="84" t="s">
        <v>88</v>
      </c>
      <c r="C97" s="137" t="s">
        <v>260</v>
      </c>
      <c r="D97" s="156">
        <f>+D98/(1000*D99*D100)</f>
        <v>2.4147727272727272E-3</v>
      </c>
      <c r="E97" s="77" t="s">
        <v>122</v>
      </c>
      <c r="F97" s="77" t="str">
        <f>+IF(D97&lt;0.25,"Ok, cumple","No cumple")</f>
        <v>Ok, cumple</v>
      </c>
    </row>
    <row r="98" spans="1:29" ht="15" customHeight="1">
      <c r="C98" s="84" t="s">
        <v>119</v>
      </c>
      <c r="D98" s="152">
        <f>+F89</f>
        <v>1.7</v>
      </c>
      <c r="E98" s="165" t="s">
        <v>129</v>
      </c>
      <c r="F98" s="165" t="s">
        <v>261</v>
      </c>
      <c r="G98" s="86" t="s">
        <v>191</v>
      </c>
    </row>
    <row r="99" spans="1:29" ht="15" customHeight="1">
      <c r="C99" s="84" t="s">
        <v>120</v>
      </c>
      <c r="D99" s="88">
        <f>+D71</f>
        <v>0.8</v>
      </c>
      <c r="E99" s="165" t="s">
        <v>54</v>
      </c>
    </row>
    <row r="100" spans="1:29" ht="15" customHeight="1">
      <c r="C100" s="84" t="s">
        <v>121</v>
      </c>
      <c r="D100" s="88">
        <f>+D69</f>
        <v>0.88</v>
      </c>
      <c r="E100" s="165" t="s">
        <v>54</v>
      </c>
    </row>
    <row r="101" spans="1:29" ht="9.9499999999999993" customHeight="1">
      <c r="D101" s="109"/>
    </row>
    <row r="102" spans="1:29" ht="15" customHeight="1">
      <c r="A102" s="77" t="s">
        <v>262</v>
      </c>
      <c r="C102" s="84"/>
      <c r="D102" s="143" t="s">
        <v>263</v>
      </c>
      <c r="E102" s="88">
        <f>+ROUND((D97/(D64/100)),1)</f>
        <v>0.1</v>
      </c>
      <c r="F102" s="77" t="str">
        <f>+IF(E102&lt;20,"Cumple","No cumple")</f>
        <v>Cumple</v>
      </c>
    </row>
    <row r="103" spans="1:29" ht="15" customHeight="1">
      <c r="D103" s="109"/>
      <c r="F103" s="165" t="s">
        <v>264</v>
      </c>
      <c r="G103" s="165" t="s">
        <v>192</v>
      </c>
    </row>
    <row r="104" spans="1:29" ht="9.9499999999999993" customHeight="1">
      <c r="D104" s="89"/>
    </row>
    <row r="105" spans="1:29" ht="54.95" customHeight="1">
      <c r="A105" s="229" t="str">
        <f>CONCATENATE("Según los anteriores cálculos, se tiene que la relación entre la velocidad horizontal y la velocidad de sedimentación esta por debajo de la recomendada por el RAS/2000; además la velocidad horizontal ",ROUND(D97,3),"m/s, es inferior a la máxima recomendada (",F98,"). De otro lado, la relación entre velocidades (Rv), tiene un valor de ",E102,", cumpliendo con lo especificado en el RAS/2000 (",F103,").")</f>
        <v>Según los anteriores cálculos, se tiene que la relación entre la velocidad horizontal y la velocidad de sedimentación esta por debajo de la recomendada por el RAS/2000; además la velocidad horizontal 0,002m/s, es inferior a la máxima recomendada (VH &lt; 0,25m/s). De otro lado, la relación entre velocidades (Rv), tiene un valor de 0,1, cumpliendo con lo especificado en el RAS/2000 (RV &lt; 20).</v>
      </c>
      <c r="B105" s="229"/>
      <c r="C105" s="229"/>
      <c r="D105" s="229"/>
      <c r="E105" s="229"/>
      <c r="F105" s="229"/>
      <c r="G105" s="229"/>
      <c r="H105" s="229"/>
    </row>
    <row r="106" spans="1:29" s="77" customFormat="1" ht="9.9499999999999993" customHeight="1">
      <c r="B106" s="81"/>
      <c r="C106" s="81"/>
      <c r="D106" s="81"/>
      <c r="E106" s="81"/>
      <c r="F106" s="81"/>
      <c r="G106" s="81"/>
    </row>
    <row r="107" spans="1:29" ht="15" customHeight="1">
      <c r="A107" s="194" t="s">
        <v>275</v>
      </c>
      <c r="B107" s="187"/>
      <c r="C107" s="187"/>
      <c r="D107" s="187"/>
      <c r="E107" s="187"/>
      <c r="F107" s="187"/>
      <c r="G107" s="187"/>
      <c r="H107" s="187"/>
      <c r="P107" s="131"/>
      <c r="V107" s="133"/>
      <c r="W107" s="133"/>
      <c r="X107" s="133"/>
      <c r="Y107" s="133"/>
      <c r="Z107" s="133"/>
      <c r="AA107" s="133"/>
      <c r="AB107" s="133"/>
      <c r="AC107" s="133"/>
    </row>
    <row r="108" spans="1:29" ht="9.9499999999999993" customHeight="1">
      <c r="A108" s="77"/>
      <c r="P108" s="131"/>
      <c r="V108" s="133"/>
      <c r="W108" s="133"/>
      <c r="X108" s="133"/>
      <c r="Y108" s="133"/>
      <c r="Z108" s="133"/>
      <c r="AA108" s="133"/>
      <c r="AB108" s="133"/>
      <c r="AC108" s="133"/>
    </row>
    <row r="109" spans="1:29" s="77" customFormat="1" ht="15" customHeight="1">
      <c r="B109" s="81"/>
      <c r="C109" s="230" t="s">
        <v>283</v>
      </c>
      <c r="D109" s="230"/>
      <c r="E109" s="230"/>
      <c r="F109" s="165"/>
      <c r="G109" s="81"/>
    </row>
    <row r="110" spans="1:29" ht="9.9499999999999993" customHeight="1">
      <c r="A110" s="77"/>
      <c r="P110" s="131"/>
      <c r="V110" s="133"/>
      <c r="W110" s="133"/>
      <c r="X110" s="133"/>
      <c r="Y110" s="133"/>
      <c r="Z110" s="133"/>
      <c r="AA110" s="133"/>
      <c r="AB110" s="133"/>
      <c r="AC110" s="133"/>
    </row>
    <row r="111" spans="1:29" ht="15" customHeight="1">
      <c r="A111" s="84" t="s">
        <v>88</v>
      </c>
      <c r="C111" s="137" t="s">
        <v>276</v>
      </c>
      <c r="D111" s="157">
        <f>ROUND((125*((D113-1)*D114)^0.5),1)</f>
        <v>22.7</v>
      </c>
      <c r="E111" s="77" t="s">
        <v>134</v>
      </c>
    </row>
    <row r="112" spans="1:29" ht="15" customHeight="1">
      <c r="A112" s="166"/>
      <c r="C112" s="137" t="s">
        <v>276</v>
      </c>
      <c r="D112" s="98">
        <f>+D111/100</f>
        <v>0.22699999999999998</v>
      </c>
      <c r="E112" s="77" t="s">
        <v>122</v>
      </c>
      <c r="F112" s="77" t="str">
        <f>IF(D112&gt;D97,"Ok, cumple la condición Va &gt; VH","No cumple con la condición Va &gt; VH")</f>
        <v>Ok, cumple la condición Va &gt; VH</v>
      </c>
      <c r="G112" s="77"/>
    </row>
    <row r="113" spans="1:29" ht="15" customHeight="1">
      <c r="C113" s="84" t="s">
        <v>135</v>
      </c>
      <c r="D113" s="88">
        <v>2.65</v>
      </c>
      <c r="F113" s="77"/>
    </row>
    <row r="114" spans="1:29" ht="15" customHeight="1">
      <c r="C114" s="84" t="s">
        <v>136</v>
      </c>
      <c r="D114" s="95">
        <f>+D44</f>
        <v>0.02</v>
      </c>
      <c r="E114" s="165" t="s">
        <v>64</v>
      </c>
      <c r="F114" s="77"/>
    </row>
    <row r="115" spans="1:29" ht="9.9499999999999993" customHeight="1">
      <c r="C115" s="84"/>
      <c r="D115" s="151"/>
      <c r="F115" s="77"/>
    </row>
    <row r="116" spans="1:29" ht="30" customHeight="1">
      <c r="A116" s="229" t="str">
        <f>+CONCATENATE("Según lo anterior, se tiene que el desarenador presenta una velocidad de arrastre igual a ",D112,"m/s, cumpliendo con la condición (Va&gt;VH).")</f>
        <v>Según lo anterior, se tiene que el desarenador presenta una velocidad de arrastre igual a 0,227m/s, cumpliendo con la condición (Va&gt;VH).</v>
      </c>
      <c r="B116" s="229"/>
      <c r="C116" s="229"/>
      <c r="D116" s="229"/>
      <c r="E116" s="229"/>
      <c r="F116" s="229"/>
      <c r="G116" s="229"/>
      <c r="H116" s="229"/>
    </row>
    <row r="117" spans="1:29" s="77" customFormat="1" ht="9.9499999999999993" customHeight="1">
      <c r="B117" s="81"/>
      <c r="C117" s="81"/>
      <c r="D117" s="81"/>
      <c r="E117" s="81"/>
      <c r="F117" s="81"/>
      <c r="G117" s="81"/>
    </row>
    <row r="118" spans="1:29" ht="15" customHeight="1">
      <c r="A118" s="194" t="s">
        <v>277</v>
      </c>
      <c r="B118" s="187"/>
      <c r="C118" s="187"/>
      <c r="D118" s="187"/>
      <c r="E118" s="187"/>
      <c r="F118" s="187"/>
      <c r="G118" s="187"/>
      <c r="H118" s="187"/>
      <c r="P118" s="131"/>
      <c r="V118" s="133"/>
      <c r="W118" s="133"/>
      <c r="X118" s="133"/>
      <c r="Y118" s="133"/>
      <c r="Z118" s="133"/>
      <c r="AA118" s="133"/>
      <c r="AB118" s="133"/>
      <c r="AC118" s="133"/>
    </row>
    <row r="119" spans="1:29" ht="9.9499999999999993" customHeight="1">
      <c r="A119" s="77"/>
      <c r="P119" s="131"/>
      <c r="V119" s="133"/>
      <c r="W119" s="133"/>
      <c r="X119" s="133"/>
      <c r="Y119" s="133"/>
      <c r="Z119" s="133"/>
      <c r="AA119" s="133"/>
      <c r="AB119" s="133"/>
      <c r="AC119" s="133"/>
    </row>
    <row r="120" spans="1:29" s="77" customFormat="1" ht="15" customHeight="1">
      <c r="B120" s="81"/>
      <c r="C120" s="230" t="s">
        <v>282</v>
      </c>
      <c r="D120" s="230"/>
      <c r="E120" s="230"/>
      <c r="F120" s="91"/>
      <c r="G120" s="81"/>
    </row>
    <row r="121" spans="1:29" ht="9.9499999999999993" customHeight="1">
      <c r="A121" s="77"/>
      <c r="P121" s="131"/>
      <c r="V121" s="133"/>
      <c r="W121" s="133"/>
      <c r="X121" s="133"/>
      <c r="Y121" s="133"/>
      <c r="Z121" s="133"/>
      <c r="AA121" s="133"/>
      <c r="AB121" s="133"/>
      <c r="AC121" s="133"/>
    </row>
    <row r="122" spans="1:29" ht="15" customHeight="1">
      <c r="C122" s="84" t="s">
        <v>107</v>
      </c>
      <c r="D122" s="84" t="s">
        <v>106</v>
      </c>
      <c r="E122" s="165" t="s">
        <v>111</v>
      </c>
    </row>
    <row r="123" spans="1:29" ht="15" customHeight="1">
      <c r="D123" s="84" t="s">
        <v>108</v>
      </c>
      <c r="E123" s="165" t="s">
        <v>113</v>
      </c>
    </row>
    <row r="124" spans="1:29" ht="15" customHeight="1">
      <c r="D124" s="84" t="s">
        <v>109</v>
      </c>
      <c r="E124" s="165" t="s">
        <v>112</v>
      </c>
    </row>
    <row r="125" spans="1:29" ht="15" customHeight="1">
      <c r="D125" s="84" t="s">
        <v>110</v>
      </c>
      <c r="E125" s="165" t="s">
        <v>265</v>
      </c>
    </row>
    <row r="126" spans="1:29" ht="9.9499999999999993" customHeight="1"/>
    <row r="127" spans="1:29" ht="15" customHeight="1">
      <c r="C127" s="145" t="s">
        <v>106</v>
      </c>
      <c r="D127" s="155">
        <f>+ROUND((D44*D64/D43),2)</f>
        <v>6.22</v>
      </c>
      <c r="E127" s="101" t="str">
        <f>+IF(D127&lt; 4,"Ok, cumple Flujo en transición; Re &lt; 4","No Cumple Flujo en transición; Re &lt; 4")</f>
        <v>No Cumple Flujo en transición; Re &lt; 4</v>
      </c>
    </row>
    <row r="128" spans="1:29" ht="9.9499999999999993" customHeight="1">
      <c r="C128" s="145"/>
      <c r="D128" s="146"/>
      <c r="E128" s="101"/>
    </row>
    <row r="129" spans="1:29" ht="45" customHeight="1">
      <c r="A129" s="229" t="str">
        <f>+CONCATENATE("De acuerdo con lo anterior, el desarenador existente según las consideraciones hidráulicas teóricas usadas para el presente proyecto, presenta Número de Reynolds igual a ",D127,", el cual NO cumple con las recomendaciones para dicho parámetro de evaluación (Re &lt; 0,50).")</f>
        <v>De acuerdo con lo anterior, el desarenador existente según las consideraciones hidráulicas teóricas usadas para el presente proyecto, presenta Número de Reynolds igual a 6,22, el cual NO cumple con las recomendaciones para dicho parámetro de evaluación (Re &lt; 0,50).</v>
      </c>
      <c r="B129" s="229"/>
      <c r="C129" s="229"/>
      <c r="D129" s="229"/>
      <c r="E129" s="229"/>
      <c r="F129" s="229"/>
      <c r="G129" s="229"/>
      <c r="H129" s="229"/>
      <c r="I129" s="130"/>
      <c r="J129" s="130"/>
      <c r="K129" s="130"/>
      <c r="L129" s="130"/>
      <c r="M129" s="130"/>
      <c r="N129" s="130"/>
      <c r="O129" s="130"/>
      <c r="P129" s="130"/>
      <c r="Q129" s="130"/>
      <c r="R129" s="130"/>
      <c r="S129" s="130"/>
      <c r="T129" s="130"/>
      <c r="U129" s="130"/>
      <c r="V129" s="130"/>
      <c r="W129" s="130"/>
      <c r="X129" s="130"/>
      <c r="Y129" s="130"/>
      <c r="Z129" s="130"/>
      <c r="AA129" s="130"/>
      <c r="AB129" s="130"/>
    </row>
    <row r="130" spans="1:29" s="77" customFormat="1" ht="9.9499999999999993" customHeight="1">
      <c r="B130" s="81"/>
      <c r="C130" s="81"/>
      <c r="D130" s="81"/>
      <c r="E130" s="81"/>
      <c r="F130" s="81"/>
      <c r="G130" s="81"/>
    </row>
    <row r="131" spans="1:29" ht="15" customHeight="1">
      <c r="A131" s="194" t="s">
        <v>285</v>
      </c>
      <c r="B131" s="194"/>
      <c r="C131" s="194"/>
      <c r="D131" s="194"/>
      <c r="E131" s="194"/>
      <c r="F131" s="194"/>
      <c r="G131" s="194"/>
      <c r="H131" s="194"/>
      <c r="P131" s="131"/>
      <c r="V131" s="133"/>
      <c r="W131" s="133"/>
      <c r="X131" s="133"/>
      <c r="Y131" s="133"/>
      <c r="Z131" s="133"/>
      <c r="AA131" s="133"/>
      <c r="AB131" s="133"/>
      <c r="AC131" s="133"/>
    </row>
    <row r="132" spans="1:29" s="77" customFormat="1" ht="9" customHeight="1">
      <c r="B132" s="81"/>
      <c r="C132" s="81"/>
      <c r="D132" s="81"/>
      <c r="E132" s="81"/>
      <c r="F132" s="81"/>
      <c r="G132" s="81"/>
    </row>
    <row r="133" spans="1:29" s="77" customFormat="1" ht="30" customHeight="1">
      <c r="A133" s="187" t="s">
        <v>278</v>
      </c>
      <c r="B133" s="187"/>
      <c r="C133" s="187"/>
      <c r="D133" s="187"/>
      <c r="E133" s="187"/>
      <c r="F133" s="187"/>
      <c r="G133" s="187"/>
      <c r="H133" s="187"/>
    </row>
    <row r="134" spans="1:29" s="77" customFormat="1" ht="9.9499999999999993" customHeight="1">
      <c r="A134" s="86"/>
      <c r="B134" s="81"/>
      <c r="C134" s="81"/>
      <c r="D134" s="81"/>
      <c r="E134" s="81"/>
      <c r="F134" s="81"/>
      <c r="G134" s="81"/>
    </row>
    <row r="135" spans="1:29" s="77" customFormat="1" ht="15" customHeight="1">
      <c r="B135" s="167"/>
      <c r="C135" s="188" t="s">
        <v>213</v>
      </c>
      <c r="D135" s="188"/>
      <c r="E135" s="188"/>
      <c r="F135" s="167"/>
      <c r="G135" s="167"/>
    </row>
    <row r="136" spans="1:29" s="77" customFormat="1" ht="9.9499999999999993" customHeight="1">
      <c r="A136" s="187"/>
      <c r="B136" s="187"/>
      <c r="C136" s="187"/>
      <c r="D136" s="187"/>
      <c r="E136" s="187"/>
      <c r="F136" s="187"/>
      <c r="G136" s="187"/>
    </row>
    <row r="137" spans="1:29" s="77" customFormat="1" ht="15" customHeight="1">
      <c r="A137" s="165" t="s">
        <v>88</v>
      </c>
      <c r="B137" s="81"/>
      <c r="C137" s="81"/>
      <c r="D137" s="81"/>
      <c r="E137" s="81"/>
      <c r="F137" s="81"/>
      <c r="G137" s="81"/>
    </row>
    <row r="138" spans="1:29" s="77" customFormat="1" ht="15" customHeight="1">
      <c r="A138" s="165" t="s">
        <v>202</v>
      </c>
      <c r="B138" s="81"/>
      <c r="C138" s="81"/>
      <c r="D138" s="152">
        <f>+F89</f>
        <v>1.7</v>
      </c>
      <c r="E138" s="86" t="s">
        <v>129</v>
      </c>
      <c r="F138" s="86"/>
      <c r="G138" s="86"/>
    </row>
    <row r="139" spans="1:29" s="77" customFormat="1" ht="15" customHeight="1">
      <c r="A139" s="165" t="s">
        <v>202</v>
      </c>
      <c r="B139" s="81"/>
      <c r="C139" s="81"/>
      <c r="D139" s="153">
        <f>+D138/1000</f>
        <v>1.6999999999999999E-3</v>
      </c>
      <c r="E139" s="86" t="s">
        <v>203</v>
      </c>
      <c r="F139" s="86"/>
      <c r="G139" s="86"/>
    </row>
    <row r="140" spans="1:29" s="77" customFormat="1" ht="15" customHeight="1">
      <c r="A140" s="165" t="s">
        <v>57</v>
      </c>
      <c r="B140" s="81"/>
      <c r="C140" s="81"/>
      <c r="D140" s="96">
        <f>+D71</f>
        <v>0.8</v>
      </c>
      <c r="E140" s="86" t="s">
        <v>54</v>
      </c>
      <c r="F140" s="86"/>
      <c r="G140" s="86"/>
    </row>
    <row r="141" spans="1:29" s="77" customFormat="1" ht="15" customHeight="1">
      <c r="A141" s="165" t="s">
        <v>286</v>
      </c>
      <c r="B141" s="81"/>
      <c r="C141" s="81"/>
      <c r="D141" s="155">
        <f>+ROUND(((D139/(1.84*D140))^(2/3)),2)</f>
        <v>0.01</v>
      </c>
      <c r="E141" s="94" t="s">
        <v>54</v>
      </c>
      <c r="F141" s="86"/>
      <c r="G141" s="86"/>
    </row>
    <row r="142" spans="1:29" s="77" customFormat="1" ht="9.9499999999999993" customHeight="1">
      <c r="A142" s="165"/>
      <c r="B142" s="81"/>
      <c r="C142" s="81"/>
      <c r="D142" s="97"/>
      <c r="E142" s="94"/>
      <c r="F142" s="86"/>
      <c r="G142" s="86"/>
    </row>
    <row r="143" spans="1:29" s="77" customFormat="1" ht="30" customHeight="1">
      <c r="A143" s="187" t="str">
        <f>+CONCATENATE("Lo anterior, indica que para que por el vertedero de salida del desarenador circulen los ",D138,"L/s de capacidad de tratamiento, se requiere una lámina de agua equivalente a ",D141,"m.")</f>
        <v>Lo anterior, indica que para que por el vertedero de salida del desarenador circulen los 1,7L/s de capacidad de tratamiento, se requiere una lámina de agua equivalente a 0,01m.</v>
      </c>
      <c r="B143" s="187"/>
      <c r="C143" s="187"/>
      <c r="D143" s="187"/>
      <c r="E143" s="187"/>
      <c r="F143" s="187"/>
      <c r="G143" s="187"/>
      <c r="H143" s="187"/>
    </row>
    <row r="144" spans="1:29" s="77" customFormat="1" ht="8.1" customHeight="1">
      <c r="B144" s="81"/>
      <c r="C144" s="81"/>
      <c r="D144" s="81"/>
      <c r="E144" s="81"/>
      <c r="F144" s="81"/>
      <c r="G144" s="81"/>
    </row>
    <row r="145" spans="1:29" ht="15" customHeight="1">
      <c r="A145" s="194" t="s">
        <v>302</v>
      </c>
      <c r="B145" s="194"/>
      <c r="C145" s="194"/>
      <c r="D145" s="194"/>
      <c r="E145" s="194"/>
      <c r="F145" s="194"/>
      <c r="G145" s="194"/>
      <c r="H145" s="194"/>
      <c r="P145" s="131"/>
      <c r="V145" s="133"/>
      <c r="W145" s="133"/>
      <c r="X145" s="133"/>
      <c r="Y145" s="133"/>
      <c r="Z145" s="133"/>
      <c r="AA145" s="133"/>
      <c r="AB145" s="133"/>
      <c r="AC145" s="133"/>
    </row>
    <row r="146" spans="1:29" s="77" customFormat="1" ht="8.1" customHeight="1">
      <c r="B146" s="81"/>
      <c r="C146" s="81"/>
      <c r="D146" s="81"/>
      <c r="E146" s="81"/>
      <c r="F146" s="81"/>
      <c r="G146" s="81"/>
    </row>
    <row r="147" spans="1:29" s="77" customFormat="1" ht="30" customHeight="1">
      <c r="A147" s="187" t="s">
        <v>303</v>
      </c>
      <c r="B147" s="187"/>
      <c r="C147" s="187"/>
      <c r="D147" s="187"/>
      <c r="E147" s="187"/>
      <c r="F147" s="187"/>
      <c r="G147" s="187"/>
      <c r="H147" s="187"/>
    </row>
    <row r="148" spans="1:29" s="77" customFormat="1" ht="8.1" customHeight="1">
      <c r="B148" s="81"/>
      <c r="C148" s="81"/>
      <c r="D148" s="81"/>
      <c r="E148" s="81"/>
      <c r="F148" s="81"/>
      <c r="G148" s="81"/>
    </row>
    <row r="149" spans="1:29" s="77" customFormat="1" ht="15" customHeight="1">
      <c r="A149" s="188" t="s">
        <v>304</v>
      </c>
      <c r="B149" s="188"/>
      <c r="C149" s="188"/>
      <c r="D149" s="188"/>
      <c r="E149" s="188"/>
      <c r="F149" s="188"/>
      <c r="G149" s="188"/>
      <c r="H149" s="188"/>
    </row>
    <row r="150" spans="1:29" s="77" customFormat="1" ht="8.1" customHeight="1">
      <c r="B150" s="81"/>
      <c r="C150" s="81"/>
      <c r="D150" s="105"/>
      <c r="E150" s="81"/>
      <c r="F150" s="81"/>
      <c r="G150" s="81"/>
    </row>
    <row r="151" spans="1:29" s="90" customFormat="1" ht="15" customHeight="1">
      <c r="A151" s="106" t="s">
        <v>305</v>
      </c>
      <c r="D151" s="164">
        <v>1.5</v>
      </c>
      <c r="E151" s="90" t="s">
        <v>289</v>
      </c>
    </row>
    <row r="152" spans="1:29" s="90" customFormat="1" ht="15" customHeight="1">
      <c r="A152" s="106" t="s">
        <v>305</v>
      </c>
      <c r="D152" s="105">
        <f>+D151*0.0254</f>
        <v>3.8099999999999995E-2</v>
      </c>
      <c r="E152" s="90" t="s">
        <v>54</v>
      </c>
    </row>
    <row r="153" spans="1:29" s="90" customFormat="1" ht="15" customHeight="1">
      <c r="A153" s="106" t="s">
        <v>306</v>
      </c>
      <c r="D153" s="161">
        <f>+ROUND((PI()*(D152^2)/4),3)</f>
        <v>1E-3</v>
      </c>
      <c r="E153" s="90" t="s">
        <v>206</v>
      </c>
    </row>
    <row r="154" spans="1:29" s="90" customFormat="1" ht="15" customHeight="1">
      <c r="A154" s="106" t="s">
        <v>298</v>
      </c>
      <c r="D154" s="160">
        <v>45</v>
      </c>
    </row>
    <row r="155" spans="1:29" s="90" customFormat="1" ht="15" customHeight="1">
      <c r="A155" s="106" t="s">
        <v>307</v>
      </c>
      <c r="D155" s="159">
        <f>+F89</f>
        <v>1.7</v>
      </c>
      <c r="E155" s="90" t="s">
        <v>129</v>
      </c>
    </row>
    <row r="156" spans="1:29" s="90" customFormat="1" ht="15" customHeight="1">
      <c r="A156" s="106" t="s">
        <v>308</v>
      </c>
      <c r="D156" s="159">
        <f>+D155/D154</f>
        <v>3.7777777777777778E-2</v>
      </c>
      <c r="E156" s="90" t="s">
        <v>129</v>
      </c>
    </row>
    <row r="157" spans="1:29" s="90" customFormat="1" ht="15" customHeight="1">
      <c r="A157" s="106" t="s">
        <v>309</v>
      </c>
      <c r="D157" s="155">
        <f>ROUND(((D156/1000)/D153),2)</f>
        <v>0.04</v>
      </c>
      <c r="E157" s="101" t="s">
        <v>122</v>
      </c>
    </row>
    <row r="158" spans="1:29" s="90" customFormat="1" ht="15" customHeight="1">
      <c r="A158" s="106" t="s">
        <v>293</v>
      </c>
      <c r="D158" s="105">
        <v>9.81</v>
      </c>
      <c r="E158" s="90" t="s">
        <v>200</v>
      </c>
    </row>
    <row r="159" spans="1:29" s="77" customFormat="1" ht="8.1" customHeight="1">
      <c r="A159" s="165"/>
      <c r="B159" s="81"/>
      <c r="C159" s="81"/>
      <c r="D159" s="97"/>
      <c r="E159" s="94"/>
      <c r="F159" s="86"/>
      <c r="G159" s="86"/>
    </row>
    <row r="160" spans="1:29" s="77" customFormat="1" ht="15" customHeight="1">
      <c r="A160" s="187" t="str">
        <f>+CONCATENATE("Según lo anterior, por los ",D154," orificios de Ø",D151,"pulgadas, se presenta una velocidad de paso de ",D157,"m/s.")</f>
        <v>Según lo anterior, por los 45 orificios de Ø1,5pulgadas, se presenta una velocidad de paso de 0,04m/s.</v>
      </c>
      <c r="B160" s="187"/>
      <c r="C160" s="187"/>
      <c r="D160" s="187"/>
      <c r="E160" s="187"/>
      <c r="F160" s="187"/>
      <c r="G160" s="187"/>
      <c r="H160" s="187"/>
    </row>
    <row r="161" spans="1:29" s="77" customFormat="1" ht="8.1" customHeight="1">
      <c r="B161" s="81"/>
      <c r="C161" s="81"/>
      <c r="D161" s="81"/>
      <c r="E161" s="81"/>
      <c r="F161" s="81"/>
      <c r="G161" s="81"/>
    </row>
    <row r="162" spans="1:29" ht="15" customHeight="1">
      <c r="A162" s="194" t="s">
        <v>301</v>
      </c>
      <c r="B162" s="194"/>
      <c r="C162" s="194"/>
      <c r="D162" s="194"/>
      <c r="E162" s="194"/>
      <c r="F162" s="194"/>
      <c r="G162" s="194"/>
      <c r="H162" s="194"/>
      <c r="P162" s="131"/>
      <c r="V162" s="133"/>
      <c r="W162" s="133"/>
      <c r="X162" s="133"/>
      <c r="Y162" s="133"/>
      <c r="Z162" s="133"/>
      <c r="AA162" s="133"/>
      <c r="AB162" s="133"/>
      <c r="AC162" s="133"/>
    </row>
    <row r="163" spans="1:29" s="77" customFormat="1" ht="8.1" customHeight="1">
      <c r="B163" s="81"/>
      <c r="C163" s="81"/>
      <c r="D163" s="81"/>
      <c r="E163" s="81"/>
      <c r="F163" s="81"/>
      <c r="G163" s="81"/>
    </row>
    <row r="164" spans="1:29" s="77" customFormat="1" ht="75" customHeight="1">
      <c r="A164" s="187" t="s">
        <v>297</v>
      </c>
      <c r="B164" s="187"/>
      <c r="C164" s="187"/>
      <c r="D164" s="187"/>
      <c r="E164" s="187"/>
      <c r="F164" s="187"/>
      <c r="G164" s="187"/>
      <c r="H164" s="187"/>
    </row>
    <row r="165" spans="1:29" s="77" customFormat="1" ht="8.1" customHeight="1">
      <c r="B165" s="81"/>
      <c r="C165" s="81"/>
      <c r="D165" s="81"/>
      <c r="E165" s="81"/>
      <c r="F165" s="81"/>
      <c r="G165" s="81"/>
    </row>
    <row r="166" spans="1:29" s="77" customFormat="1" ht="15" customHeight="1">
      <c r="A166" s="188" t="s">
        <v>300</v>
      </c>
      <c r="B166" s="188"/>
      <c r="C166" s="188"/>
      <c r="D166" s="188"/>
      <c r="E166" s="188"/>
      <c r="F166" s="188"/>
      <c r="G166" s="188"/>
      <c r="H166" s="188"/>
    </row>
    <row r="167" spans="1:29" s="77" customFormat="1" ht="8.1" customHeight="1">
      <c r="B167" s="81"/>
      <c r="C167" s="81"/>
      <c r="D167" s="81"/>
      <c r="E167" s="81"/>
      <c r="F167" s="81"/>
      <c r="G167" s="81"/>
    </row>
    <row r="168" spans="1:29" s="90" customFormat="1" ht="15" customHeight="1">
      <c r="A168" s="106" t="s">
        <v>287</v>
      </c>
      <c r="D168" s="164">
        <f>+D70*D71</f>
        <v>2.2719999999999998</v>
      </c>
      <c r="E168" s="90" t="s">
        <v>206</v>
      </c>
    </row>
    <row r="169" spans="1:29" s="90" customFormat="1" ht="15" customHeight="1">
      <c r="A169" s="106" t="s">
        <v>288</v>
      </c>
      <c r="D169" s="160">
        <v>4</v>
      </c>
      <c r="E169" s="90" t="s">
        <v>289</v>
      </c>
    </row>
    <row r="170" spans="1:29" s="90" customFormat="1" ht="15" customHeight="1">
      <c r="A170" s="106" t="s">
        <v>288</v>
      </c>
      <c r="D170" s="105">
        <f>+D169*0.0254</f>
        <v>0.1016</v>
      </c>
      <c r="E170" s="90" t="s">
        <v>54</v>
      </c>
    </row>
    <row r="171" spans="1:29" s="90" customFormat="1" ht="15" customHeight="1">
      <c r="A171" s="106" t="s">
        <v>290</v>
      </c>
      <c r="D171" s="161">
        <f>+ROUND((PI()*(D170^2)/4),3)</f>
        <v>8.0000000000000002E-3</v>
      </c>
      <c r="E171" s="90" t="s">
        <v>206</v>
      </c>
    </row>
    <row r="172" spans="1:29" s="90" customFormat="1" ht="15" customHeight="1">
      <c r="A172" s="106" t="s">
        <v>298</v>
      </c>
      <c r="D172" s="160">
        <v>1</v>
      </c>
    </row>
    <row r="173" spans="1:29" s="90" customFormat="1" ht="15" customHeight="1">
      <c r="A173" s="106" t="s">
        <v>299</v>
      </c>
      <c r="D173" s="161">
        <f>+D172*D171</f>
        <v>8.0000000000000002E-3</v>
      </c>
      <c r="E173" s="90" t="s">
        <v>206</v>
      </c>
    </row>
    <row r="174" spans="1:29" s="90" customFormat="1" ht="15" customHeight="1">
      <c r="A174" s="106" t="s">
        <v>296</v>
      </c>
      <c r="D174" s="163">
        <f>+D69</f>
        <v>0.88</v>
      </c>
      <c r="E174" s="90" t="s">
        <v>54</v>
      </c>
    </row>
    <row r="175" spans="1:29" s="90" customFormat="1" ht="15" customHeight="1">
      <c r="A175" s="106" t="s">
        <v>291</v>
      </c>
      <c r="D175" s="105">
        <v>0.55000000000000004</v>
      </c>
      <c r="E175" s="90" t="s">
        <v>292</v>
      </c>
    </row>
    <row r="176" spans="1:29" s="90" customFormat="1" ht="15" customHeight="1">
      <c r="A176" s="106" t="s">
        <v>293</v>
      </c>
      <c r="D176" s="105">
        <v>9.81</v>
      </c>
      <c r="E176" s="90" t="s">
        <v>200</v>
      </c>
    </row>
    <row r="177" spans="1:28" s="90" customFormat="1" ht="15" customHeight="1">
      <c r="A177" s="106" t="s">
        <v>295</v>
      </c>
      <c r="D177" s="162">
        <f>+ROUND(((2*D168*(D174^0.5))/(D175*D173*((2*D176)^0.5))/3600),2)</f>
        <v>0.06</v>
      </c>
      <c r="E177" s="101" t="s">
        <v>294</v>
      </c>
    </row>
    <row r="178" spans="1:28" s="90" customFormat="1" ht="15" customHeight="1">
      <c r="A178" s="106" t="s">
        <v>295</v>
      </c>
      <c r="D178" s="157">
        <f>+D177*60</f>
        <v>3.5999999999999996</v>
      </c>
      <c r="E178" s="101" t="s">
        <v>118</v>
      </c>
    </row>
    <row r="179" spans="1:28" s="90" customFormat="1" ht="15" hidden="1" customHeight="1">
      <c r="A179" s="106"/>
      <c r="D179" s="158" t="str">
        <f>+IF(D177&lt;=8,"Cumple Literal B.9.4.10 del RAS/2.000, T &lt; 8 horas","No cumple Literal B.9.4.10 del RAS/2.000, T &lt; 8 horas")</f>
        <v>Cumple Literal B.9.4.10 del RAS/2.000, T &lt; 8 horas</v>
      </c>
    </row>
    <row r="180" spans="1:28" s="77" customFormat="1" ht="8.1" customHeight="1">
      <c r="A180" s="165"/>
      <c r="B180" s="81"/>
      <c r="C180" s="81"/>
      <c r="D180" s="97"/>
      <c r="E180" s="94"/>
      <c r="F180" s="86"/>
      <c r="G180" s="86"/>
    </row>
    <row r="181" spans="1:28" s="77" customFormat="1" ht="30" customHeight="1">
      <c r="A181" s="187" t="str">
        <f>+CONCATENATE("Acorde con lo anterior, el desagüe existente son ",D172," tuberías en PVC de Ø",D169,"pulg., ubicados en el fondo del desarenador, estas tuberías tendrá la capacidad de vaciar completamente la estructura en un tiempo de ",D178," minutos.")</f>
        <v>Acorde con lo anterior, el desagüe existente son 1 tuberías en PVC de Ø4pulg., ubicados en el fondo del desarenador, estas tuberías tendrá la capacidad de vaciar completamente la estructura en un tiempo de 3,6 minutos.</v>
      </c>
      <c r="B181" s="187"/>
      <c r="C181" s="187"/>
      <c r="D181" s="187"/>
      <c r="E181" s="187"/>
      <c r="F181" s="187"/>
      <c r="G181" s="187"/>
      <c r="H181" s="187"/>
    </row>
    <row r="182" spans="1:28" s="77" customFormat="1" ht="8.1" customHeight="1">
      <c r="A182" s="165"/>
      <c r="B182" s="81"/>
      <c r="C182" s="81"/>
      <c r="D182" s="97"/>
      <c r="E182" s="94"/>
      <c r="F182" s="86"/>
      <c r="G182" s="86"/>
    </row>
    <row r="183" spans="1:28" ht="12" customHeight="1">
      <c r="A183" s="189" t="s">
        <v>279</v>
      </c>
      <c r="B183" s="189"/>
      <c r="C183" s="189"/>
      <c r="D183" s="189"/>
      <c r="E183" s="189"/>
      <c r="F183" s="189"/>
      <c r="G183" s="189"/>
      <c r="H183" s="187"/>
    </row>
    <row r="184" spans="1:28" ht="12" customHeight="1">
      <c r="A184" s="189" t="s">
        <v>280</v>
      </c>
      <c r="B184" s="189"/>
      <c r="C184" s="189"/>
      <c r="D184" s="189"/>
      <c r="E184" s="189"/>
      <c r="F184" s="189"/>
      <c r="G184" s="189"/>
      <c r="H184" s="187"/>
    </row>
    <row r="185" spans="1:28" ht="12" customHeight="1">
      <c r="A185" s="189" t="s">
        <v>281</v>
      </c>
      <c r="B185" s="189"/>
      <c r="C185" s="189"/>
      <c r="D185" s="189"/>
      <c r="E185" s="189"/>
      <c r="F185" s="189"/>
      <c r="G185" s="189"/>
      <c r="H185" s="187"/>
    </row>
    <row r="186" spans="1:28" ht="17.25">
      <c r="A186" s="154"/>
      <c r="B186" s="130"/>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c r="AA186" s="130"/>
      <c r="AB186" s="130"/>
    </row>
    <row r="187" spans="1:28" ht="17.25">
      <c r="A187" s="130"/>
      <c r="B187" s="130"/>
      <c r="C187" s="130"/>
      <c r="D187" s="130"/>
      <c r="E187" s="130"/>
      <c r="F187" s="130"/>
      <c r="G187" s="130"/>
      <c r="H187" s="130"/>
      <c r="I187" s="130"/>
      <c r="J187" s="130"/>
      <c r="K187" s="130"/>
      <c r="L187" s="130"/>
      <c r="M187" s="130"/>
      <c r="N187" s="130"/>
      <c r="O187" s="130"/>
      <c r="P187" s="130"/>
      <c r="Q187" s="130"/>
      <c r="R187" s="130"/>
      <c r="S187" s="130"/>
      <c r="T187" s="130"/>
      <c r="U187" s="130"/>
      <c r="V187" s="130"/>
      <c r="W187" s="130"/>
      <c r="X187" s="130"/>
      <c r="Y187" s="130"/>
      <c r="Z187" s="130"/>
      <c r="AA187" s="130"/>
      <c r="AB187" s="130"/>
    </row>
    <row r="188" spans="1:28" ht="17.25">
      <c r="A188" s="130"/>
      <c r="B188" s="130"/>
      <c r="C188" s="130"/>
      <c r="D188" s="130"/>
      <c r="E188" s="130"/>
      <c r="F188" s="130"/>
      <c r="G188" s="130"/>
      <c r="H188" s="130"/>
      <c r="I188" s="130"/>
      <c r="J188" s="130"/>
      <c r="K188" s="130"/>
      <c r="L188" s="130"/>
      <c r="M188" s="130"/>
      <c r="N188" s="130"/>
      <c r="O188" s="130"/>
      <c r="P188" s="130"/>
      <c r="Q188" s="130"/>
      <c r="R188" s="130"/>
      <c r="S188" s="130"/>
      <c r="T188" s="130"/>
      <c r="U188" s="130"/>
      <c r="V188" s="130"/>
      <c r="W188" s="130"/>
      <c r="X188" s="130"/>
      <c r="Y188" s="130"/>
      <c r="Z188" s="130"/>
      <c r="AA188" s="130"/>
      <c r="AB188" s="130"/>
    </row>
    <row r="189" spans="1:28" ht="17.25">
      <c r="A189" s="130"/>
      <c r="B189" s="130"/>
      <c r="C189" s="130"/>
      <c r="D189" s="130"/>
      <c r="E189" s="130"/>
      <c r="F189" s="130"/>
      <c r="G189" s="130"/>
      <c r="H189" s="130"/>
      <c r="I189" s="130"/>
      <c r="J189" s="130"/>
      <c r="K189" s="130"/>
      <c r="L189" s="130"/>
      <c r="M189" s="130"/>
      <c r="N189" s="130"/>
      <c r="O189" s="130"/>
      <c r="P189" s="130"/>
      <c r="Q189" s="130"/>
      <c r="R189" s="130"/>
      <c r="S189" s="130"/>
      <c r="T189" s="130"/>
      <c r="U189" s="130"/>
      <c r="V189" s="130"/>
      <c r="W189" s="130"/>
      <c r="X189" s="130"/>
      <c r="Y189" s="130"/>
      <c r="Z189" s="130"/>
      <c r="AA189" s="130"/>
      <c r="AB189" s="130"/>
    </row>
    <row r="190" spans="1:28" ht="17.25">
      <c r="A190" s="130"/>
      <c r="B190" s="130"/>
      <c r="C190" s="130"/>
      <c r="D190" s="130"/>
      <c r="E190" s="130"/>
      <c r="F190" s="130"/>
      <c r="G190" s="130"/>
      <c r="H190" s="130"/>
      <c r="I190" s="130"/>
      <c r="J190" s="130"/>
      <c r="K190" s="130"/>
      <c r="L190" s="130"/>
      <c r="M190" s="130"/>
      <c r="N190" s="130"/>
      <c r="O190" s="130"/>
      <c r="P190" s="130"/>
      <c r="Q190" s="130"/>
      <c r="R190" s="130"/>
      <c r="S190" s="130"/>
      <c r="T190" s="130"/>
      <c r="U190" s="130"/>
      <c r="V190" s="130"/>
      <c r="W190" s="130"/>
      <c r="X190" s="130"/>
      <c r="Y190" s="130"/>
      <c r="Z190" s="130"/>
      <c r="AA190" s="130"/>
      <c r="AB190" s="130"/>
    </row>
    <row r="191" spans="1:28" ht="17.25">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c r="W191" s="130"/>
      <c r="X191" s="130"/>
      <c r="Y191" s="130"/>
      <c r="Z191" s="130"/>
      <c r="AA191" s="130"/>
      <c r="AB191" s="130"/>
    </row>
    <row r="192" spans="1:28" ht="17.25">
      <c r="A192" s="130"/>
      <c r="B192" s="130"/>
      <c r="C192" s="130"/>
      <c r="D192" s="130"/>
      <c r="E192" s="130"/>
      <c r="F192" s="130"/>
      <c r="G192" s="130"/>
      <c r="H192" s="130"/>
      <c r="I192" s="130"/>
      <c r="J192" s="130"/>
      <c r="K192" s="130"/>
      <c r="L192" s="130"/>
      <c r="M192" s="130"/>
      <c r="N192" s="130"/>
      <c r="O192" s="130"/>
      <c r="P192" s="130"/>
      <c r="Q192" s="130"/>
      <c r="R192" s="130"/>
      <c r="S192" s="130"/>
      <c r="T192" s="130"/>
      <c r="U192" s="130"/>
      <c r="V192" s="130"/>
      <c r="W192" s="130"/>
      <c r="X192" s="130"/>
      <c r="Y192" s="130"/>
      <c r="Z192" s="130"/>
      <c r="AA192" s="130"/>
      <c r="AB192" s="130"/>
    </row>
    <row r="193" spans="1:28" ht="17.25">
      <c r="A193" s="130"/>
      <c r="B193" s="130"/>
      <c r="C193" s="130"/>
      <c r="D193" s="130"/>
      <c r="E193" s="130"/>
      <c r="F193" s="130"/>
      <c r="G193" s="130"/>
      <c r="H193" s="130"/>
      <c r="I193" s="130"/>
      <c r="J193" s="130"/>
      <c r="K193" s="130"/>
      <c r="L193" s="130"/>
      <c r="M193" s="130"/>
      <c r="N193" s="130"/>
      <c r="O193" s="130"/>
      <c r="P193" s="130"/>
      <c r="Q193" s="130"/>
      <c r="R193" s="130"/>
      <c r="S193" s="130"/>
      <c r="T193" s="130"/>
      <c r="U193" s="130"/>
      <c r="V193" s="130"/>
      <c r="W193" s="130"/>
      <c r="X193" s="130"/>
      <c r="Y193" s="130"/>
      <c r="Z193" s="130"/>
      <c r="AA193" s="130"/>
      <c r="AB193" s="130"/>
    </row>
    <row r="194" spans="1:28" ht="17.25">
      <c r="A194" s="130"/>
      <c r="B194" s="130"/>
      <c r="C194" s="130"/>
      <c r="D194" s="130"/>
      <c r="E194" s="130"/>
      <c r="F194" s="130"/>
      <c r="G194" s="130"/>
      <c r="H194" s="130"/>
      <c r="I194" s="130"/>
      <c r="J194" s="130"/>
      <c r="K194" s="130"/>
      <c r="L194" s="130"/>
      <c r="M194" s="130"/>
      <c r="N194" s="130"/>
      <c r="O194" s="130"/>
      <c r="P194" s="130"/>
      <c r="Q194" s="130"/>
      <c r="R194" s="130"/>
      <c r="S194" s="130"/>
      <c r="T194" s="130"/>
      <c r="U194" s="130"/>
      <c r="V194" s="130"/>
      <c r="W194" s="130"/>
      <c r="X194" s="130"/>
      <c r="Y194" s="130"/>
      <c r="Z194" s="130"/>
      <c r="AA194" s="130"/>
      <c r="AB194" s="130"/>
    </row>
    <row r="195" spans="1:28" ht="17.25">
      <c r="A195" s="130"/>
      <c r="B195" s="130"/>
      <c r="C195" s="130"/>
      <c r="D195" s="130"/>
      <c r="E195" s="130"/>
      <c r="F195" s="130"/>
      <c r="G195" s="130"/>
      <c r="H195" s="130"/>
      <c r="I195" s="130"/>
      <c r="J195" s="130"/>
      <c r="K195" s="130"/>
      <c r="L195" s="130"/>
      <c r="M195" s="130"/>
      <c r="N195" s="130"/>
      <c r="O195" s="130"/>
      <c r="P195" s="130"/>
      <c r="Q195" s="130"/>
      <c r="R195" s="130"/>
      <c r="S195" s="130"/>
      <c r="T195" s="130"/>
      <c r="U195" s="130"/>
      <c r="V195" s="130"/>
      <c r="W195" s="130"/>
      <c r="X195" s="130"/>
      <c r="Y195" s="130"/>
      <c r="Z195" s="130"/>
      <c r="AA195" s="130"/>
      <c r="AB195" s="130"/>
    </row>
    <row r="196" spans="1:28" ht="17.25">
      <c r="A196" s="130"/>
      <c r="B196" s="130"/>
      <c r="C196" s="130"/>
      <c r="D196" s="130"/>
      <c r="E196" s="130"/>
      <c r="F196" s="130"/>
      <c r="G196" s="130"/>
      <c r="H196" s="130"/>
      <c r="I196" s="130"/>
      <c r="J196" s="130"/>
      <c r="K196" s="130"/>
      <c r="L196" s="130"/>
      <c r="M196" s="130"/>
      <c r="N196" s="130"/>
      <c r="O196" s="130"/>
      <c r="P196" s="130"/>
      <c r="Q196" s="130"/>
      <c r="R196" s="130"/>
      <c r="S196" s="130"/>
      <c r="T196" s="130"/>
      <c r="U196" s="130"/>
      <c r="V196" s="130"/>
      <c r="W196" s="130"/>
      <c r="X196" s="130"/>
      <c r="Y196" s="130"/>
      <c r="Z196" s="130"/>
      <c r="AA196" s="130"/>
      <c r="AB196" s="130"/>
    </row>
    <row r="197" spans="1:28" ht="17.25">
      <c r="A197" s="130"/>
      <c r="B197" s="130"/>
      <c r="C197" s="130"/>
      <c r="D197" s="130"/>
      <c r="E197" s="130"/>
      <c r="F197" s="130"/>
      <c r="G197" s="130"/>
      <c r="H197" s="130"/>
      <c r="I197" s="130"/>
      <c r="J197" s="130"/>
      <c r="K197" s="130"/>
      <c r="L197" s="130"/>
      <c r="M197" s="130"/>
      <c r="N197" s="130"/>
      <c r="O197" s="130"/>
      <c r="P197" s="130"/>
      <c r="Q197" s="130"/>
      <c r="R197" s="130"/>
      <c r="S197" s="130"/>
      <c r="T197" s="130"/>
      <c r="U197" s="130"/>
      <c r="V197" s="130"/>
      <c r="W197" s="130"/>
      <c r="X197" s="130"/>
      <c r="Y197" s="130"/>
      <c r="Z197" s="130"/>
      <c r="AA197" s="130"/>
      <c r="AB197" s="130"/>
    </row>
    <row r="198" spans="1:28" ht="17.25">
      <c r="A198" s="130"/>
      <c r="B198" s="130"/>
      <c r="C198" s="130"/>
      <c r="D198" s="130"/>
      <c r="E198" s="130"/>
      <c r="F198" s="130"/>
      <c r="G198" s="130"/>
      <c r="H198" s="130"/>
      <c r="I198" s="130"/>
      <c r="J198" s="130"/>
      <c r="K198" s="130"/>
      <c r="L198" s="130"/>
      <c r="M198" s="130"/>
      <c r="N198" s="130"/>
      <c r="O198" s="130"/>
      <c r="P198" s="130"/>
      <c r="Q198" s="130"/>
      <c r="R198" s="130"/>
      <c r="S198" s="130"/>
      <c r="T198" s="130"/>
      <c r="U198" s="130"/>
      <c r="V198" s="130"/>
      <c r="W198" s="130"/>
      <c r="X198" s="130"/>
      <c r="Y198" s="130"/>
      <c r="Z198" s="130"/>
      <c r="AA198" s="130"/>
      <c r="AB198" s="130"/>
    </row>
    <row r="199" spans="1:28" ht="17.25">
      <c r="A199" s="130"/>
      <c r="B199" s="130"/>
      <c r="C199" s="130"/>
      <c r="D199" s="130"/>
      <c r="E199" s="130"/>
      <c r="F199" s="130"/>
      <c r="G199" s="130"/>
      <c r="H199" s="130"/>
      <c r="I199" s="130"/>
      <c r="J199" s="130"/>
      <c r="K199" s="130"/>
      <c r="L199" s="130"/>
      <c r="M199" s="130"/>
      <c r="N199" s="130"/>
      <c r="O199" s="130"/>
      <c r="P199" s="130"/>
      <c r="Q199" s="130"/>
      <c r="R199" s="130"/>
      <c r="S199" s="130"/>
      <c r="T199" s="130"/>
      <c r="U199" s="130"/>
      <c r="V199" s="130"/>
      <c r="W199" s="130"/>
      <c r="X199" s="130"/>
      <c r="Y199" s="130"/>
      <c r="Z199" s="130"/>
      <c r="AA199" s="130"/>
      <c r="AB199" s="130"/>
    </row>
    <row r="200" spans="1:28" ht="17.25">
      <c r="A200" s="130"/>
      <c r="B200" s="130"/>
      <c r="C200" s="130"/>
      <c r="D200" s="130"/>
      <c r="E200" s="130"/>
      <c r="F200" s="130"/>
      <c r="G200" s="130"/>
      <c r="H200" s="130"/>
      <c r="I200" s="130"/>
      <c r="J200" s="130"/>
      <c r="K200" s="130"/>
      <c r="L200" s="130"/>
      <c r="M200" s="130"/>
      <c r="N200" s="130"/>
      <c r="O200" s="130"/>
      <c r="P200" s="130"/>
      <c r="Q200" s="130"/>
      <c r="R200" s="130"/>
      <c r="S200" s="130"/>
      <c r="T200" s="130"/>
      <c r="U200" s="130"/>
      <c r="V200" s="130"/>
      <c r="W200" s="130"/>
      <c r="X200" s="130"/>
      <c r="Y200" s="130"/>
      <c r="Z200" s="130"/>
      <c r="AA200" s="130"/>
      <c r="AB200" s="130"/>
    </row>
    <row r="201" spans="1:28" ht="17.25">
      <c r="A201" s="130"/>
      <c r="B201" s="130"/>
      <c r="C201" s="130"/>
      <c r="D201" s="130"/>
      <c r="E201" s="130"/>
      <c r="F201" s="130"/>
      <c r="G201" s="130"/>
      <c r="H201" s="130"/>
      <c r="I201" s="130"/>
      <c r="J201" s="130"/>
      <c r="K201" s="130"/>
      <c r="L201" s="130"/>
      <c r="M201" s="130"/>
      <c r="N201" s="130"/>
      <c r="O201" s="130"/>
      <c r="P201" s="130"/>
      <c r="Q201" s="130"/>
      <c r="R201" s="130"/>
      <c r="S201" s="130"/>
      <c r="T201" s="130"/>
      <c r="U201" s="130"/>
      <c r="V201" s="130"/>
      <c r="W201" s="130"/>
      <c r="X201" s="130"/>
      <c r="Y201" s="130"/>
      <c r="Z201" s="130"/>
      <c r="AA201" s="130"/>
      <c r="AB201" s="130"/>
    </row>
    <row r="202" spans="1:28" ht="17.25">
      <c r="A202" s="130"/>
      <c r="B202" s="130"/>
      <c r="C202" s="130"/>
      <c r="D202" s="130"/>
      <c r="E202" s="130"/>
      <c r="F202" s="130"/>
      <c r="G202" s="130"/>
      <c r="H202" s="130"/>
      <c r="I202" s="130"/>
      <c r="J202" s="130"/>
      <c r="K202" s="130"/>
      <c r="L202" s="130"/>
      <c r="M202" s="130"/>
      <c r="N202" s="130"/>
      <c r="O202" s="130"/>
      <c r="P202" s="130"/>
      <c r="Q202" s="130"/>
      <c r="R202" s="130"/>
      <c r="S202" s="130"/>
      <c r="T202" s="130"/>
      <c r="U202" s="130"/>
      <c r="V202" s="130"/>
      <c r="W202" s="130"/>
      <c r="X202" s="130"/>
      <c r="Y202" s="130"/>
      <c r="Z202" s="130"/>
      <c r="AA202" s="130"/>
      <c r="AB202" s="130"/>
    </row>
    <row r="203" spans="1:28" ht="17.25">
      <c r="A203" s="130"/>
      <c r="B203" s="130"/>
      <c r="C203" s="130"/>
      <c r="D203" s="130"/>
      <c r="E203" s="130"/>
      <c r="F203" s="130"/>
      <c r="G203" s="130"/>
      <c r="H203" s="130"/>
      <c r="I203" s="130"/>
      <c r="J203" s="130"/>
      <c r="K203" s="130"/>
      <c r="L203" s="130"/>
      <c r="M203" s="130"/>
      <c r="N203" s="130"/>
      <c r="O203" s="130"/>
      <c r="P203" s="130"/>
      <c r="Q203" s="130"/>
      <c r="R203" s="130"/>
      <c r="S203" s="130"/>
      <c r="T203" s="130"/>
      <c r="U203" s="130"/>
      <c r="V203" s="130"/>
      <c r="W203" s="130"/>
      <c r="X203" s="130"/>
      <c r="Y203" s="130"/>
      <c r="Z203" s="130"/>
      <c r="AA203" s="130"/>
      <c r="AB203" s="130"/>
    </row>
    <row r="204" spans="1:28" ht="17.25">
      <c r="A204" s="130"/>
      <c r="B204" s="130"/>
      <c r="C204" s="130"/>
      <c r="D204" s="130"/>
      <c r="E204" s="130"/>
      <c r="F204" s="130"/>
      <c r="G204" s="130"/>
      <c r="H204" s="130"/>
      <c r="I204" s="130"/>
      <c r="J204" s="130"/>
      <c r="K204" s="130"/>
      <c r="L204" s="130"/>
      <c r="M204" s="130"/>
      <c r="N204" s="130"/>
      <c r="O204" s="130"/>
      <c r="P204" s="130"/>
      <c r="Q204" s="130"/>
      <c r="R204" s="130"/>
      <c r="S204" s="130"/>
      <c r="T204" s="130"/>
      <c r="U204" s="130"/>
      <c r="V204" s="130"/>
      <c r="W204" s="130"/>
      <c r="X204" s="130"/>
      <c r="Y204" s="130"/>
      <c r="Z204" s="130"/>
      <c r="AA204" s="130"/>
      <c r="AB204" s="130"/>
    </row>
    <row r="205" spans="1:28" ht="17.25">
      <c r="A205" s="130"/>
      <c r="B205" s="130"/>
      <c r="C205" s="130"/>
      <c r="D205" s="130"/>
      <c r="E205" s="130"/>
      <c r="F205" s="130"/>
      <c r="G205" s="130"/>
      <c r="H205" s="130"/>
      <c r="I205" s="130"/>
      <c r="J205" s="130"/>
      <c r="K205" s="130"/>
      <c r="L205" s="130"/>
      <c r="M205" s="130"/>
      <c r="N205" s="130"/>
      <c r="O205" s="130"/>
      <c r="P205" s="130"/>
      <c r="Q205" s="130"/>
      <c r="R205" s="130"/>
      <c r="S205" s="130"/>
      <c r="T205" s="130"/>
      <c r="U205" s="130"/>
      <c r="V205" s="130"/>
      <c r="W205" s="130"/>
      <c r="X205" s="130"/>
      <c r="Y205" s="130"/>
      <c r="Z205" s="130"/>
      <c r="AA205" s="130"/>
      <c r="AB205" s="130"/>
    </row>
    <row r="206" spans="1:28" ht="17.25">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c r="W206" s="130"/>
      <c r="X206" s="130"/>
      <c r="Y206" s="130"/>
      <c r="Z206" s="130"/>
      <c r="AA206" s="130"/>
      <c r="AB206" s="130"/>
    </row>
    <row r="207" spans="1:28" ht="17.25">
      <c r="A207" s="130"/>
      <c r="B207" s="130"/>
      <c r="C207" s="130"/>
      <c r="D207" s="130"/>
      <c r="E207" s="130"/>
      <c r="F207" s="130"/>
      <c r="G207" s="130"/>
      <c r="H207" s="130"/>
      <c r="I207" s="130"/>
      <c r="J207" s="130"/>
      <c r="K207" s="130"/>
      <c r="L207" s="130"/>
      <c r="M207" s="130"/>
      <c r="N207" s="130"/>
      <c r="O207" s="130"/>
      <c r="P207" s="130"/>
      <c r="Q207" s="130"/>
      <c r="R207" s="130"/>
      <c r="S207" s="130"/>
      <c r="T207" s="130"/>
      <c r="U207" s="130"/>
      <c r="V207" s="130"/>
      <c r="W207" s="130"/>
      <c r="X207" s="130"/>
      <c r="Y207" s="130"/>
      <c r="Z207" s="130"/>
      <c r="AA207" s="130"/>
      <c r="AB207" s="130"/>
    </row>
    <row r="208" spans="1:28" ht="17.25">
      <c r="A208" s="130"/>
      <c r="B208" s="130"/>
      <c r="C208" s="130"/>
      <c r="D208" s="130"/>
      <c r="E208" s="130"/>
      <c r="F208" s="130"/>
      <c r="G208" s="130"/>
      <c r="H208" s="130"/>
      <c r="I208" s="130"/>
      <c r="J208" s="130"/>
      <c r="K208" s="130"/>
      <c r="L208" s="130"/>
      <c r="M208" s="130"/>
      <c r="N208" s="130"/>
      <c r="O208" s="130"/>
      <c r="P208" s="130"/>
      <c r="Q208" s="130"/>
      <c r="R208" s="130"/>
      <c r="S208" s="130"/>
      <c r="T208" s="130"/>
      <c r="U208" s="130"/>
      <c r="V208" s="130"/>
      <c r="W208" s="130"/>
      <c r="X208" s="130"/>
      <c r="Y208" s="130"/>
      <c r="Z208" s="130"/>
      <c r="AA208" s="130"/>
      <c r="AB208" s="130"/>
    </row>
    <row r="209" spans="1:28" ht="17.25">
      <c r="A209" s="130"/>
      <c r="B209" s="130"/>
      <c r="C209" s="130"/>
      <c r="D209" s="130"/>
      <c r="E209" s="130"/>
      <c r="F209" s="130"/>
      <c r="G209" s="130"/>
      <c r="H209" s="130"/>
      <c r="I209" s="130"/>
      <c r="J209" s="130"/>
      <c r="K209" s="130"/>
      <c r="L209" s="130"/>
      <c r="M209" s="130"/>
      <c r="N209" s="130"/>
      <c r="O209" s="130"/>
      <c r="P209" s="130"/>
      <c r="Q209" s="130"/>
      <c r="R209" s="130"/>
      <c r="S209" s="130"/>
      <c r="T209" s="130"/>
      <c r="U209" s="130"/>
      <c r="V209" s="130"/>
      <c r="W209" s="130"/>
      <c r="X209" s="130"/>
      <c r="Y209" s="130"/>
      <c r="Z209" s="130"/>
      <c r="AA209" s="130"/>
      <c r="AB209" s="130"/>
    </row>
    <row r="210" spans="1:28" ht="17.25">
      <c r="A210" s="130"/>
      <c r="B210" s="130"/>
      <c r="C210" s="130"/>
      <c r="D210" s="130"/>
      <c r="E210" s="130"/>
      <c r="F210" s="130"/>
      <c r="G210" s="130"/>
      <c r="H210" s="130"/>
      <c r="I210" s="130"/>
      <c r="J210" s="130"/>
      <c r="K210" s="130"/>
      <c r="L210" s="130"/>
      <c r="M210" s="130"/>
      <c r="N210" s="130"/>
      <c r="O210" s="130"/>
      <c r="P210" s="130"/>
      <c r="Q210" s="130"/>
      <c r="R210" s="130"/>
      <c r="S210" s="130"/>
      <c r="T210" s="130"/>
      <c r="U210" s="130"/>
      <c r="V210" s="130"/>
      <c r="W210" s="130"/>
      <c r="X210" s="130"/>
      <c r="Y210" s="130"/>
      <c r="Z210" s="130"/>
      <c r="AA210" s="130"/>
      <c r="AB210" s="130"/>
    </row>
    <row r="211" spans="1:28" ht="17.25">
      <c r="A211" s="130"/>
      <c r="B211" s="130"/>
      <c r="C211" s="130"/>
      <c r="D211" s="130"/>
      <c r="E211" s="130"/>
      <c r="F211" s="130"/>
      <c r="G211" s="130"/>
      <c r="H211" s="130"/>
      <c r="I211" s="130"/>
      <c r="J211" s="130"/>
      <c r="K211" s="130"/>
      <c r="L211" s="130"/>
      <c r="M211" s="130"/>
      <c r="N211" s="130"/>
      <c r="O211" s="130"/>
      <c r="P211" s="130"/>
      <c r="Q211" s="130"/>
      <c r="R211" s="130"/>
      <c r="S211" s="130"/>
      <c r="T211" s="130"/>
      <c r="U211" s="130"/>
      <c r="V211" s="130"/>
      <c r="W211" s="130"/>
      <c r="X211" s="130"/>
      <c r="Y211" s="130"/>
      <c r="Z211" s="130"/>
      <c r="AA211" s="130"/>
      <c r="AB211" s="130"/>
    </row>
    <row r="212" spans="1:28" ht="17.25">
      <c r="A212" s="130"/>
      <c r="B212" s="130"/>
      <c r="C212" s="130"/>
      <c r="D212" s="130"/>
      <c r="E212" s="130"/>
      <c r="F212" s="130"/>
      <c r="G212" s="130"/>
      <c r="H212" s="130"/>
      <c r="I212" s="130"/>
      <c r="J212" s="130"/>
      <c r="K212" s="130"/>
      <c r="L212" s="130"/>
      <c r="M212" s="130"/>
      <c r="N212" s="130"/>
      <c r="O212" s="130"/>
      <c r="P212" s="130"/>
      <c r="Q212" s="130"/>
      <c r="R212" s="130"/>
      <c r="S212" s="130"/>
      <c r="T212" s="130"/>
      <c r="U212" s="130"/>
      <c r="V212" s="130"/>
      <c r="W212" s="130"/>
      <c r="X212" s="130"/>
      <c r="Y212" s="130"/>
      <c r="Z212" s="130"/>
      <c r="AA212" s="130"/>
      <c r="AB212" s="130"/>
    </row>
    <row r="213" spans="1:28" ht="17.25">
      <c r="A213" s="130"/>
      <c r="B213" s="130"/>
      <c r="C213" s="130"/>
      <c r="D213" s="130"/>
      <c r="E213" s="130"/>
      <c r="F213" s="130"/>
      <c r="G213" s="130"/>
      <c r="H213" s="130"/>
      <c r="I213" s="130"/>
      <c r="J213" s="130"/>
      <c r="K213" s="130"/>
      <c r="L213" s="130"/>
      <c r="M213" s="130"/>
      <c r="N213" s="130"/>
      <c r="O213" s="130"/>
      <c r="P213" s="130"/>
      <c r="Q213" s="130"/>
      <c r="R213" s="130"/>
      <c r="S213" s="130"/>
      <c r="T213" s="130"/>
      <c r="U213" s="130"/>
      <c r="V213" s="130"/>
      <c r="W213" s="130"/>
      <c r="X213" s="130"/>
      <c r="Y213" s="130"/>
      <c r="Z213" s="130"/>
      <c r="AA213" s="130"/>
      <c r="AB213" s="130"/>
    </row>
    <row r="214" spans="1:28" ht="17.25">
      <c r="A214" s="130"/>
      <c r="B214" s="130"/>
      <c r="C214" s="130"/>
      <c r="D214" s="130"/>
      <c r="E214" s="130"/>
      <c r="F214" s="130"/>
      <c r="G214" s="130"/>
      <c r="H214" s="130"/>
      <c r="I214" s="130"/>
      <c r="J214" s="130"/>
      <c r="K214" s="130"/>
      <c r="L214" s="130"/>
      <c r="M214" s="130"/>
      <c r="N214" s="130"/>
      <c r="O214" s="130"/>
      <c r="P214" s="130"/>
      <c r="Q214" s="130"/>
      <c r="R214" s="130"/>
      <c r="S214" s="130"/>
      <c r="T214" s="130"/>
      <c r="U214" s="130"/>
      <c r="V214" s="130"/>
      <c r="W214" s="130"/>
      <c r="X214" s="130"/>
      <c r="Y214" s="130"/>
      <c r="Z214" s="130"/>
      <c r="AA214" s="130"/>
      <c r="AB214" s="130"/>
    </row>
    <row r="215" spans="1:28" ht="17.25">
      <c r="A215" s="130"/>
      <c r="B215" s="130"/>
      <c r="C215" s="130"/>
      <c r="D215" s="130"/>
      <c r="E215" s="130"/>
      <c r="F215" s="130"/>
      <c r="G215" s="130"/>
      <c r="H215" s="130"/>
      <c r="I215" s="130"/>
      <c r="J215" s="130"/>
      <c r="K215" s="130"/>
      <c r="L215" s="130"/>
      <c r="M215" s="130"/>
      <c r="N215" s="130"/>
      <c r="O215" s="130"/>
      <c r="P215" s="130"/>
      <c r="Q215" s="130"/>
      <c r="R215" s="130"/>
      <c r="S215" s="130"/>
      <c r="T215" s="130"/>
      <c r="U215" s="130"/>
      <c r="V215" s="130"/>
      <c r="W215" s="130"/>
      <c r="X215" s="130"/>
      <c r="Y215" s="130"/>
      <c r="Z215" s="130"/>
      <c r="AA215" s="130"/>
      <c r="AB215" s="130"/>
    </row>
    <row r="216" spans="1:28" ht="17.25">
      <c r="A216" s="130"/>
      <c r="B216" s="130"/>
      <c r="C216" s="130"/>
      <c r="D216" s="130"/>
      <c r="E216" s="130"/>
      <c r="F216" s="130"/>
      <c r="G216" s="130"/>
      <c r="H216" s="130"/>
      <c r="I216" s="130"/>
      <c r="J216" s="130"/>
      <c r="K216" s="130"/>
      <c r="L216" s="130"/>
      <c r="M216" s="130"/>
      <c r="N216" s="130"/>
      <c r="O216" s="130"/>
      <c r="P216" s="130"/>
      <c r="Q216" s="130"/>
      <c r="R216" s="130"/>
      <c r="S216" s="130"/>
      <c r="T216" s="130"/>
      <c r="U216" s="130"/>
      <c r="V216" s="130"/>
      <c r="W216" s="130"/>
      <c r="X216" s="130"/>
      <c r="Y216" s="130"/>
      <c r="Z216" s="130"/>
      <c r="AA216" s="130"/>
      <c r="AB216" s="130"/>
    </row>
    <row r="217" spans="1:28" ht="17.25">
      <c r="A217" s="130"/>
      <c r="B217" s="130"/>
      <c r="C217" s="130"/>
      <c r="D217" s="130"/>
      <c r="E217" s="130"/>
      <c r="F217" s="130"/>
      <c r="G217" s="130"/>
      <c r="H217" s="130"/>
      <c r="I217" s="130"/>
      <c r="J217" s="130"/>
      <c r="K217" s="130"/>
      <c r="L217" s="130"/>
      <c r="M217" s="130"/>
      <c r="N217" s="130"/>
      <c r="O217" s="130"/>
      <c r="P217" s="130"/>
      <c r="Q217" s="130"/>
      <c r="R217" s="130"/>
      <c r="S217" s="130"/>
      <c r="T217" s="130"/>
      <c r="U217" s="130"/>
      <c r="V217" s="130"/>
      <c r="W217" s="130"/>
      <c r="X217" s="130"/>
      <c r="Y217" s="130"/>
      <c r="Z217" s="130"/>
      <c r="AA217" s="130"/>
      <c r="AB217" s="130"/>
    </row>
    <row r="218" spans="1:28" ht="17.25">
      <c r="A218" s="130"/>
      <c r="B218" s="130"/>
      <c r="C218" s="130"/>
      <c r="D218" s="130"/>
      <c r="E218" s="130"/>
      <c r="F218" s="130"/>
      <c r="G218" s="130"/>
      <c r="H218" s="130"/>
      <c r="I218" s="130"/>
      <c r="J218" s="130"/>
      <c r="K218" s="130"/>
      <c r="L218" s="130"/>
      <c r="M218" s="130"/>
      <c r="N218" s="130"/>
      <c r="O218" s="130"/>
      <c r="P218" s="130"/>
      <c r="Q218" s="130"/>
      <c r="R218" s="130"/>
      <c r="S218" s="130"/>
      <c r="T218" s="130"/>
      <c r="U218" s="130"/>
      <c r="V218" s="130"/>
      <c r="W218" s="130"/>
      <c r="X218" s="130"/>
      <c r="Y218" s="130"/>
      <c r="Z218" s="130"/>
      <c r="AA218" s="130"/>
      <c r="AB218" s="130"/>
    </row>
    <row r="219" spans="1:28" ht="17.25">
      <c r="A219" s="130"/>
      <c r="B219" s="130"/>
      <c r="C219" s="130"/>
      <c r="D219" s="130"/>
      <c r="E219" s="130"/>
      <c r="F219" s="130"/>
      <c r="G219" s="130"/>
      <c r="H219" s="130"/>
      <c r="I219" s="130"/>
      <c r="J219" s="130"/>
      <c r="K219" s="130"/>
      <c r="L219" s="130"/>
      <c r="M219" s="130"/>
      <c r="N219" s="130"/>
      <c r="O219" s="130"/>
      <c r="P219" s="130"/>
      <c r="Q219" s="130"/>
      <c r="R219" s="130"/>
      <c r="S219" s="130"/>
      <c r="T219" s="130"/>
      <c r="U219" s="130"/>
      <c r="V219" s="130"/>
      <c r="W219" s="130"/>
      <c r="X219" s="130"/>
      <c r="Y219" s="130"/>
      <c r="Z219" s="130"/>
      <c r="AA219" s="130"/>
      <c r="AB219" s="130"/>
    </row>
    <row r="220" spans="1:28" ht="17.25">
      <c r="A220" s="130"/>
      <c r="B220" s="130"/>
      <c r="C220" s="130"/>
      <c r="D220" s="130"/>
      <c r="E220" s="130"/>
      <c r="F220" s="130"/>
      <c r="G220" s="130"/>
      <c r="H220" s="130"/>
      <c r="I220" s="130"/>
      <c r="J220" s="130"/>
      <c r="K220" s="130"/>
      <c r="L220" s="130"/>
      <c r="M220" s="130"/>
      <c r="N220" s="130"/>
      <c r="O220" s="130"/>
      <c r="P220" s="130"/>
      <c r="Q220" s="130"/>
      <c r="R220" s="130"/>
      <c r="S220" s="130"/>
      <c r="T220" s="130"/>
      <c r="U220" s="130"/>
      <c r="V220" s="130"/>
      <c r="W220" s="130"/>
      <c r="X220" s="130"/>
      <c r="Y220" s="130"/>
      <c r="Z220" s="130"/>
      <c r="AA220" s="130"/>
      <c r="AB220" s="130"/>
    </row>
    <row r="221" spans="1:28" ht="17.25">
      <c r="A221" s="130"/>
      <c r="B221" s="130"/>
      <c r="C221" s="130"/>
      <c r="D221" s="130"/>
      <c r="E221" s="130"/>
      <c r="F221" s="130"/>
      <c r="G221" s="130"/>
      <c r="H221" s="130"/>
      <c r="I221" s="130"/>
      <c r="J221" s="130"/>
      <c r="K221" s="130"/>
      <c r="L221" s="130"/>
      <c r="M221" s="130"/>
      <c r="N221" s="130"/>
      <c r="O221" s="130"/>
      <c r="P221" s="130"/>
      <c r="Q221" s="130"/>
      <c r="R221" s="130"/>
      <c r="S221" s="130"/>
      <c r="T221" s="130"/>
      <c r="U221" s="130"/>
      <c r="V221" s="130"/>
      <c r="W221" s="130"/>
      <c r="X221" s="130"/>
      <c r="Y221" s="130"/>
      <c r="Z221" s="130"/>
      <c r="AA221" s="130"/>
      <c r="AB221" s="130"/>
    </row>
    <row r="222" spans="1:28" ht="17.25">
      <c r="A222" s="130"/>
      <c r="B222" s="130"/>
      <c r="C222" s="130"/>
      <c r="D222" s="130"/>
      <c r="E222" s="130"/>
      <c r="F222" s="130"/>
      <c r="G222" s="130"/>
      <c r="H222" s="130"/>
      <c r="I222" s="130"/>
      <c r="J222" s="130"/>
      <c r="K222" s="130"/>
      <c r="L222" s="130"/>
      <c r="M222" s="130"/>
      <c r="N222" s="130"/>
      <c r="O222" s="130"/>
      <c r="P222" s="130"/>
      <c r="Q222" s="130"/>
      <c r="R222" s="130"/>
      <c r="S222" s="130"/>
      <c r="T222" s="130"/>
      <c r="U222" s="130"/>
      <c r="V222" s="130"/>
      <c r="W222" s="130"/>
      <c r="X222" s="130"/>
      <c r="Y222" s="130"/>
      <c r="Z222" s="130"/>
      <c r="AA222" s="130"/>
      <c r="AB222" s="130"/>
    </row>
    <row r="223" spans="1:28" ht="17.25">
      <c r="A223" s="130"/>
      <c r="B223" s="130"/>
      <c r="C223" s="130"/>
      <c r="D223" s="130"/>
      <c r="E223" s="130"/>
    </row>
    <row r="224" spans="1:28" ht="17.25">
      <c r="A224" s="130"/>
      <c r="B224" s="130"/>
      <c r="C224" s="130"/>
      <c r="D224" s="130"/>
      <c r="E224" s="130"/>
    </row>
    <row r="225" spans="1:5" ht="17.25">
      <c r="A225" s="130"/>
      <c r="B225" s="130"/>
      <c r="C225" s="130"/>
      <c r="D225" s="130"/>
      <c r="E225" s="130"/>
    </row>
    <row r="226" spans="1:5" ht="17.25">
      <c r="A226" s="130"/>
      <c r="B226" s="130"/>
      <c r="C226" s="130"/>
      <c r="D226" s="130"/>
      <c r="E226" s="130"/>
    </row>
    <row r="227" spans="1:5" ht="17.25">
      <c r="A227" s="130"/>
      <c r="B227" s="130"/>
      <c r="C227" s="130"/>
      <c r="D227" s="130"/>
      <c r="E227" s="130"/>
    </row>
    <row r="228" spans="1:5" ht="17.25">
      <c r="A228" s="130"/>
      <c r="B228" s="130"/>
      <c r="C228" s="130"/>
      <c r="D228" s="130"/>
      <c r="E228" s="130"/>
    </row>
    <row r="229" spans="1:5" ht="17.25">
      <c r="A229" s="130"/>
      <c r="B229" s="130"/>
      <c r="C229" s="130"/>
      <c r="D229" s="130"/>
      <c r="E229" s="130"/>
    </row>
    <row r="230" spans="1:5" ht="17.25">
      <c r="A230" s="130"/>
      <c r="B230" s="130"/>
      <c r="C230" s="130"/>
      <c r="D230" s="130"/>
      <c r="E230" s="130"/>
    </row>
    <row r="231" spans="1:5" ht="17.25">
      <c r="A231" s="130"/>
      <c r="B231" s="130"/>
      <c r="C231" s="130"/>
      <c r="D231" s="130"/>
      <c r="E231" s="130"/>
    </row>
  </sheetData>
  <mergeCells count="57">
    <mergeCell ref="A3:A9"/>
    <mergeCell ref="B3:F3"/>
    <mergeCell ref="G3:H9"/>
    <mergeCell ref="B4:F7"/>
    <mergeCell ref="B8:C9"/>
    <mergeCell ref="D8:E9"/>
    <mergeCell ref="F8:F9"/>
    <mergeCell ref="A185:H185"/>
    <mergeCell ref="A162:H162"/>
    <mergeCell ref="A164:H164"/>
    <mergeCell ref="A166:H166"/>
    <mergeCell ref="A181:H181"/>
    <mergeCell ref="A183:H183"/>
    <mergeCell ref="A184:H184"/>
    <mergeCell ref="A160:H160"/>
    <mergeCell ref="A118:H118"/>
    <mergeCell ref="C120:E120"/>
    <mergeCell ref="A129:H129"/>
    <mergeCell ref="A131:H131"/>
    <mergeCell ref="A133:H133"/>
    <mergeCell ref="C135:E135"/>
    <mergeCell ref="A136:G136"/>
    <mergeCell ref="A143:H143"/>
    <mergeCell ref="A145:H145"/>
    <mergeCell ref="A147:H147"/>
    <mergeCell ref="A149:H149"/>
    <mergeCell ref="A116:H116"/>
    <mergeCell ref="C58:E58"/>
    <mergeCell ref="A66:H66"/>
    <mergeCell ref="A76:H76"/>
    <mergeCell ref="F84:H85"/>
    <mergeCell ref="A87:H87"/>
    <mergeCell ref="A91:H91"/>
    <mergeCell ref="A93:H93"/>
    <mergeCell ref="C95:E95"/>
    <mergeCell ref="A105:H105"/>
    <mergeCell ref="A107:H107"/>
    <mergeCell ref="C109:E109"/>
    <mergeCell ref="C56:E56"/>
    <mergeCell ref="F56:G56"/>
    <mergeCell ref="A26:H26"/>
    <mergeCell ref="A28:H28"/>
    <mergeCell ref="A30:H30"/>
    <mergeCell ref="A32:H32"/>
    <mergeCell ref="A34:H34"/>
    <mergeCell ref="A36:H36"/>
    <mergeCell ref="A38:H38"/>
    <mergeCell ref="A40:H40"/>
    <mergeCell ref="A50:H50"/>
    <mergeCell ref="A52:H52"/>
    <mergeCell ref="A54:H54"/>
    <mergeCell ref="A24:H24"/>
    <mergeCell ref="A12:H12"/>
    <mergeCell ref="A14:H14"/>
    <mergeCell ref="A16:H16"/>
    <mergeCell ref="A18:H18"/>
    <mergeCell ref="A22:F22"/>
  </mergeCells>
  <printOptions horizontalCentered="1"/>
  <pageMargins left="0.19685039370078741" right="0.19685039370078741" top="0.59055118110236227" bottom="0.59055118110236227" header="0" footer="0.39370078740157483"/>
  <pageSetup scale="89" orientation="portrait" horizontalDpi="180" verticalDpi="180" r:id="rId1"/>
  <headerFooter alignWithMargins="0">
    <oddFooter>&amp;C&amp;"Calibri,Normal"&amp;9Página &amp;P de &amp;N</oddFooter>
  </headerFooter>
  <rowBreaks count="3" manualBreakCount="3">
    <brk id="65" max="7" man="1"/>
    <brk id="106" max="7" man="1"/>
    <brk id="144" max="7" man="1"/>
  </rowBreaks>
  <drawing r:id="rId2"/>
  <legacyDrawing r:id="rId3"/>
</worksheet>
</file>

<file path=xl/worksheets/sheet6.xml><?xml version="1.0" encoding="utf-8"?>
<worksheet xmlns="http://schemas.openxmlformats.org/spreadsheetml/2006/main" xmlns:r="http://schemas.openxmlformats.org/officeDocument/2006/relationships">
  <sheetPr>
    <tabColor rgb="FF00B050"/>
  </sheetPr>
  <dimension ref="A1:AC230"/>
  <sheetViews>
    <sheetView view="pageBreakPreview" topLeftCell="A7" zoomScaleSheetLayoutView="100" workbookViewId="0">
      <selection activeCell="A17" sqref="A17:H17"/>
    </sheetView>
  </sheetViews>
  <sheetFormatPr baseColWidth="10" defaultRowHeight="12.75"/>
  <cols>
    <col min="1" max="1" width="22.85546875" style="75" customWidth="1"/>
    <col min="2" max="2" width="11.42578125" style="75"/>
    <col min="3" max="3" width="19" style="75" customWidth="1"/>
    <col min="4" max="4" width="10.42578125" style="75" customWidth="1"/>
    <col min="5" max="5" width="8.7109375" style="75" customWidth="1"/>
    <col min="6" max="6" width="14.5703125" style="75" customWidth="1"/>
    <col min="7" max="7" width="12" style="75" bestFit="1" customWidth="1"/>
    <col min="8" max="8" width="6.28515625" style="75" customWidth="1"/>
    <col min="9" max="16384" width="11.42578125" style="75"/>
  </cols>
  <sheetData>
    <row r="1" spans="1:8">
      <c r="A1" s="181"/>
      <c r="B1" s="181"/>
      <c r="C1" s="181"/>
      <c r="D1" s="181"/>
      <c r="E1" s="181"/>
      <c r="F1" s="181"/>
      <c r="G1" s="181"/>
      <c r="H1" s="180"/>
    </row>
    <row r="2" spans="1:8">
      <c r="A2" s="200"/>
      <c r="B2" s="200" t="s">
        <v>320</v>
      </c>
      <c r="C2" s="200"/>
      <c r="D2" s="200"/>
      <c r="E2" s="200"/>
      <c r="F2" s="200"/>
      <c r="G2" s="200"/>
      <c r="H2" s="200"/>
    </row>
    <row r="3" spans="1:8">
      <c r="A3" s="200"/>
      <c r="B3" s="201" t="s">
        <v>322</v>
      </c>
      <c r="C3" s="201"/>
      <c r="D3" s="201"/>
      <c r="E3" s="201"/>
      <c r="F3" s="201"/>
      <c r="G3" s="200"/>
      <c r="H3" s="200"/>
    </row>
    <row r="4" spans="1:8">
      <c r="A4" s="200"/>
      <c r="B4" s="201"/>
      <c r="C4" s="201"/>
      <c r="D4" s="201"/>
      <c r="E4" s="201"/>
      <c r="F4" s="201"/>
      <c r="G4" s="200"/>
      <c r="H4" s="200"/>
    </row>
    <row r="5" spans="1:8">
      <c r="A5" s="200"/>
      <c r="B5" s="201"/>
      <c r="C5" s="201"/>
      <c r="D5" s="201"/>
      <c r="E5" s="201"/>
      <c r="F5" s="201"/>
      <c r="G5" s="200"/>
      <c r="H5" s="200"/>
    </row>
    <row r="6" spans="1:8" s="180" customFormat="1">
      <c r="A6" s="200"/>
      <c r="B6" s="201"/>
      <c r="C6" s="201"/>
      <c r="D6" s="201"/>
      <c r="E6" s="201"/>
      <c r="F6" s="201"/>
      <c r="G6" s="200"/>
      <c r="H6" s="200"/>
    </row>
    <row r="7" spans="1:8" s="180" customFormat="1">
      <c r="A7" s="200"/>
      <c r="B7" s="201" t="s">
        <v>323</v>
      </c>
      <c r="C7" s="201"/>
      <c r="D7" s="200" t="s">
        <v>332</v>
      </c>
      <c r="E7" s="200"/>
      <c r="F7" s="200" t="s">
        <v>321</v>
      </c>
      <c r="G7" s="200"/>
      <c r="H7" s="200"/>
    </row>
    <row r="8" spans="1:8" s="180" customFormat="1" ht="23.25" customHeight="1">
      <c r="A8" s="200"/>
      <c r="B8" s="201"/>
      <c r="C8" s="201"/>
      <c r="D8" s="200"/>
      <c r="E8" s="200"/>
      <c r="F8" s="200"/>
      <c r="G8" s="200"/>
      <c r="H8" s="200"/>
    </row>
    <row r="9" spans="1:8" s="180" customFormat="1"/>
    <row r="10" spans="1:8" s="180" customFormat="1"/>
    <row r="11" spans="1:8" ht="39.950000000000003" customHeight="1">
      <c r="A11" s="225" t="s">
        <v>337</v>
      </c>
      <c r="B11" s="226"/>
      <c r="C11" s="226"/>
      <c r="D11" s="226"/>
      <c r="E11" s="226"/>
      <c r="F11" s="226"/>
      <c r="G11" s="226"/>
      <c r="H11" s="226"/>
    </row>
    <row r="12" spans="1:8" ht="9.9499999999999993" customHeight="1">
      <c r="A12" s="124"/>
      <c r="B12" s="93"/>
      <c r="C12" s="93"/>
      <c r="D12" s="93"/>
      <c r="E12" s="93"/>
      <c r="F12" s="93"/>
      <c r="G12" s="93"/>
      <c r="H12" s="93"/>
    </row>
    <row r="13" spans="1:8" s="126" customFormat="1" ht="18" customHeight="1">
      <c r="A13" s="228" t="s">
        <v>310</v>
      </c>
      <c r="B13" s="228"/>
      <c r="C13" s="228"/>
      <c r="D13" s="228"/>
      <c r="E13" s="228"/>
      <c r="F13" s="228"/>
      <c r="G13" s="228"/>
      <c r="H13" s="228"/>
    </row>
    <row r="14" spans="1:8" s="126" customFormat="1" ht="9.9499999999999993" customHeight="1">
      <c r="A14" s="125"/>
      <c r="B14" s="125"/>
      <c r="C14" s="125"/>
      <c r="D14" s="125"/>
      <c r="E14" s="125"/>
      <c r="F14" s="125"/>
      <c r="G14" s="125"/>
      <c r="H14" s="125"/>
    </row>
    <row r="15" spans="1:8" s="126" customFormat="1" ht="15" customHeight="1">
      <c r="A15" s="194" t="s">
        <v>209</v>
      </c>
      <c r="B15" s="194"/>
      <c r="C15" s="194"/>
      <c r="D15" s="187"/>
      <c r="E15" s="187"/>
      <c r="F15" s="187"/>
      <c r="G15" s="187"/>
      <c r="H15" s="187"/>
    </row>
    <row r="16" spans="1:8" s="126" customFormat="1" ht="9.9499999999999993" customHeight="1">
      <c r="A16" s="125"/>
      <c r="B16" s="125"/>
      <c r="C16" s="125"/>
      <c r="D16" s="125"/>
      <c r="E16" s="125"/>
      <c r="F16" s="125"/>
      <c r="G16" s="125"/>
      <c r="H16" s="125"/>
    </row>
    <row r="17" spans="1:29" s="126" customFormat="1" ht="131.25" customHeight="1">
      <c r="A17" s="229" t="s">
        <v>333</v>
      </c>
      <c r="B17" s="229"/>
      <c r="C17" s="229"/>
      <c r="D17" s="229"/>
      <c r="E17" s="229"/>
      <c r="F17" s="229"/>
      <c r="G17" s="229"/>
      <c r="H17" s="229"/>
      <c r="K17" s="77"/>
      <c r="L17" s="127"/>
      <c r="M17" s="75"/>
      <c r="N17" s="75"/>
      <c r="O17" s="75"/>
      <c r="P17" s="75"/>
      <c r="Q17" s="75"/>
      <c r="R17" s="75"/>
      <c r="S17" s="75"/>
      <c r="T17" s="75"/>
      <c r="U17" s="75"/>
      <c r="V17" s="75"/>
      <c r="W17" s="75"/>
      <c r="X17" s="75"/>
      <c r="Y17" s="75"/>
      <c r="Z17" s="75"/>
      <c r="AA17" s="75"/>
      <c r="AB17" s="75"/>
      <c r="AC17" s="75"/>
    </row>
    <row r="18" spans="1:29" s="126" customFormat="1" ht="9.9499999999999993" customHeight="1">
      <c r="A18" s="125"/>
      <c r="B18" s="125"/>
      <c r="C18" s="125"/>
      <c r="D18" s="125"/>
      <c r="E18" s="125"/>
      <c r="F18" s="125"/>
      <c r="G18" s="75"/>
      <c r="H18" s="125"/>
    </row>
    <row r="19" spans="1:29" s="126" customFormat="1" ht="12" hidden="1" customHeight="1">
      <c r="A19" s="77" t="s">
        <v>1</v>
      </c>
      <c r="B19" s="99"/>
      <c r="C19" s="99"/>
      <c r="D19" s="99"/>
      <c r="F19" s="99"/>
      <c r="G19" s="99"/>
      <c r="H19" s="99"/>
      <c r="J19" s="77"/>
      <c r="K19" s="77"/>
      <c r="L19" s="127"/>
      <c r="M19" s="75"/>
      <c r="N19" s="75"/>
      <c r="O19" s="75"/>
      <c r="P19" s="75"/>
      <c r="Q19" s="75"/>
      <c r="R19" s="75"/>
      <c r="S19" s="75"/>
      <c r="T19" s="75"/>
      <c r="U19" s="75"/>
      <c r="V19" s="75"/>
      <c r="W19" s="75"/>
      <c r="X19" s="75"/>
      <c r="Y19" s="75"/>
      <c r="Z19" s="75"/>
      <c r="AA19" s="75"/>
      <c r="AB19" s="75"/>
      <c r="AC19" s="75"/>
    </row>
    <row r="20" spans="1:29" s="126" customFormat="1" ht="9" hidden="1" customHeight="1">
      <c r="A20" s="99"/>
      <c r="B20" s="99"/>
      <c r="C20" s="99"/>
      <c r="D20" s="99"/>
      <c r="E20" s="99"/>
      <c r="F20" s="99"/>
      <c r="G20" s="99"/>
      <c r="H20" s="99"/>
      <c r="J20" s="77"/>
      <c r="K20" s="77"/>
      <c r="L20" s="127"/>
      <c r="M20" s="75"/>
      <c r="N20" s="75"/>
      <c r="O20" s="75"/>
      <c r="P20" s="75"/>
      <c r="Q20" s="75"/>
      <c r="R20" s="75"/>
      <c r="S20" s="75"/>
      <c r="T20" s="75"/>
      <c r="U20" s="75"/>
      <c r="V20" s="75"/>
      <c r="W20" s="75"/>
      <c r="X20" s="75"/>
      <c r="Y20" s="75"/>
      <c r="Z20" s="75"/>
      <c r="AA20" s="75"/>
      <c r="AB20" s="75"/>
      <c r="AC20" s="75"/>
    </row>
    <row r="21" spans="1:29" s="126" customFormat="1" ht="12" hidden="1" customHeight="1">
      <c r="A21" s="227" t="s">
        <v>0</v>
      </c>
      <c r="B21" s="227"/>
      <c r="C21" s="227"/>
      <c r="D21" s="227"/>
      <c r="E21" s="227"/>
      <c r="F21" s="227"/>
      <c r="G21" s="99"/>
      <c r="H21" s="99"/>
      <c r="J21" s="77"/>
      <c r="K21" s="77"/>
      <c r="L21" s="127"/>
      <c r="M21" s="75"/>
      <c r="N21" s="75"/>
      <c r="O21" s="75"/>
      <c r="P21" s="75"/>
      <c r="Q21" s="75"/>
      <c r="R21" s="75"/>
      <c r="S21" s="75"/>
      <c r="T21" s="75"/>
      <c r="U21" s="75"/>
      <c r="V21" s="75"/>
      <c r="W21" s="75"/>
      <c r="X21" s="75"/>
      <c r="Y21" s="75"/>
      <c r="Z21" s="75"/>
      <c r="AA21" s="75"/>
      <c r="AB21" s="75"/>
      <c r="AC21" s="75"/>
    </row>
    <row r="22" spans="1:29" s="126" customFormat="1" ht="12" hidden="1" customHeight="1">
      <c r="A22" s="128"/>
      <c r="B22" s="128"/>
      <c r="C22" s="128"/>
      <c r="D22" s="128"/>
      <c r="E22" s="128"/>
      <c r="F22" s="129"/>
      <c r="G22" s="99"/>
      <c r="H22" s="99"/>
      <c r="J22" s="77"/>
      <c r="K22" s="77"/>
      <c r="L22" s="127"/>
      <c r="M22" s="75"/>
      <c r="N22" s="75"/>
      <c r="O22" s="75"/>
      <c r="P22" s="75"/>
      <c r="Q22" s="75"/>
      <c r="R22" s="75"/>
      <c r="S22" s="75"/>
      <c r="T22" s="75"/>
      <c r="U22" s="75"/>
      <c r="V22" s="75"/>
      <c r="W22" s="75"/>
      <c r="X22" s="75"/>
      <c r="Y22" s="75"/>
      <c r="Z22" s="75"/>
      <c r="AA22" s="75"/>
      <c r="AB22" s="75"/>
      <c r="AC22" s="75"/>
    </row>
    <row r="23" spans="1:29" s="126" customFormat="1" ht="36.75" hidden="1" customHeight="1">
      <c r="A23" s="224" t="s">
        <v>244</v>
      </c>
      <c r="B23" s="224"/>
      <c r="C23" s="224"/>
      <c r="D23" s="224"/>
      <c r="E23" s="224"/>
      <c r="F23" s="224"/>
      <c r="G23" s="224"/>
      <c r="H23" s="224"/>
      <c r="J23" s="77"/>
      <c r="K23" s="77"/>
      <c r="L23" s="127"/>
      <c r="M23" s="75"/>
      <c r="N23" s="75"/>
      <c r="O23" s="75"/>
      <c r="P23" s="75"/>
      <c r="Q23" s="75"/>
      <c r="R23" s="75"/>
      <c r="S23" s="75"/>
      <c r="T23" s="75"/>
      <c r="U23" s="75"/>
      <c r="V23" s="75"/>
      <c r="W23" s="75"/>
      <c r="X23" s="75"/>
      <c r="Y23" s="75"/>
      <c r="Z23" s="75"/>
      <c r="AA23" s="75"/>
      <c r="AB23" s="75"/>
      <c r="AC23" s="75"/>
    </row>
    <row r="24" spans="1:29" s="126" customFormat="1" ht="9" hidden="1" customHeight="1">
      <c r="A24" s="128"/>
      <c r="B24" s="128"/>
      <c r="C24" s="128"/>
      <c r="D24" s="128"/>
      <c r="E24" s="128"/>
      <c r="F24" s="129"/>
      <c r="G24" s="99"/>
      <c r="H24" s="99"/>
      <c r="J24" s="77"/>
      <c r="K24" s="77"/>
      <c r="L24" s="127"/>
      <c r="M24" s="75"/>
      <c r="N24" s="75"/>
      <c r="O24" s="75"/>
      <c r="P24" s="75"/>
      <c r="Q24" s="75"/>
      <c r="R24" s="75"/>
      <c r="S24" s="75"/>
      <c r="T24" s="75"/>
      <c r="U24" s="75"/>
      <c r="V24" s="75"/>
      <c r="W24" s="75"/>
      <c r="X24" s="75"/>
      <c r="Y24" s="75"/>
      <c r="Z24" s="75"/>
      <c r="AA24" s="75"/>
      <c r="AB24" s="75"/>
      <c r="AC24" s="75"/>
    </row>
    <row r="25" spans="1:29" s="126" customFormat="1" ht="27" hidden="1" customHeight="1">
      <c r="A25" s="224" t="s">
        <v>237</v>
      </c>
      <c r="B25" s="224"/>
      <c r="C25" s="224"/>
      <c r="D25" s="224"/>
      <c r="E25" s="224"/>
      <c r="F25" s="224"/>
      <c r="G25" s="224"/>
      <c r="H25" s="224"/>
      <c r="J25" s="77"/>
      <c r="K25" s="77"/>
      <c r="L25" s="127"/>
      <c r="M25" s="75"/>
      <c r="N25" s="75"/>
      <c r="O25" s="75"/>
      <c r="P25" s="75"/>
      <c r="Q25" s="75"/>
      <c r="R25" s="75"/>
      <c r="S25" s="75"/>
      <c r="T25" s="75"/>
      <c r="U25" s="75"/>
      <c r="V25" s="75"/>
      <c r="W25" s="75"/>
      <c r="X25" s="75"/>
      <c r="Y25" s="75"/>
      <c r="Z25" s="75"/>
      <c r="AA25" s="75"/>
      <c r="AB25" s="75"/>
      <c r="AC25" s="75"/>
    </row>
    <row r="26" spans="1:29" s="126" customFormat="1" ht="9" hidden="1" customHeight="1">
      <c r="A26" s="128"/>
      <c r="B26" s="128"/>
      <c r="C26" s="128"/>
      <c r="D26" s="128"/>
      <c r="E26" s="128"/>
      <c r="F26" s="129"/>
      <c r="G26" s="99"/>
      <c r="H26" s="99"/>
      <c r="J26" s="77"/>
      <c r="K26" s="77"/>
      <c r="L26" s="127"/>
      <c r="M26" s="75"/>
      <c r="N26" s="75"/>
      <c r="O26" s="75"/>
      <c r="P26" s="75"/>
      <c r="Q26" s="75"/>
      <c r="R26" s="75"/>
      <c r="S26" s="75"/>
      <c r="T26" s="75"/>
      <c r="U26" s="75"/>
      <c r="V26" s="75"/>
      <c r="W26" s="75"/>
      <c r="X26" s="75"/>
      <c r="Y26" s="75"/>
      <c r="Z26" s="75"/>
      <c r="AA26" s="75"/>
      <c r="AB26" s="75"/>
      <c r="AC26" s="75"/>
    </row>
    <row r="27" spans="1:29" s="126" customFormat="1" ht="37.5" hidden="1" customHeight="1">
      <c r="A27" s="224" t="s">
        <v>245</v>
      </c>
      <c r="B27" s="224"/>
      <c r="C27" s="224"/>
      <c r="D27" s="224"/>
      <c r="E27" s="224"/>
      <c r="F27" s="224"/>
      <c r="G27" s="224"/>
      <c r="H27" s="224"/>
      <c r="J27" s="77"/>
      <c r="K27" s="77"/>
      <c r="L27" s="127"/>
      <c r="M27" s="75"/>
      <c r="N27" s="75"/>
      <c r="O27" s="75"/>
      <c r="P27" s="75"/>
      <c r="Q27" s="75"/>
      <c r="R27" s="75"/>
      <c r="S27" s="75"/>
      <c r="T27" s="75"/>
      <c r="U27" s="75"/>
      <c r="V27" s="75"/>
      <c r="W27" s="75"/>
      <c r="X27" s="75"/>
      <c r="Y27" s="75"/>
      <c r="Z27" s="75"/>
      <c r="AA27" s="75"/>
      <c r="AB27" s="75"/>
      <c r="AC27" s="75"/>
    </row>
    <row r="28" spans="1:29" s="126" customFormat="1" ht="9" hidden="1" customHeight="1">
      <c r="A28" s="99"/>
      <c r="B28" s="99"/>
      <c r="C28" s="99"/>
      <c r="D28" s="99"/>
      <c r="E28" s="99"/>
      <c r="F28" s="99"/>
      <c r="G28" s="99"/>
      <c r="H28" s="99"/>
      <c r="J28" s="77"/>
      <c r="K28" s="77"/>
      <c r="L28" s="127"/>
      <c r="M28" s="75"/>
      <c r="N28" s="75"/>
      <c r="O28" s="75"/>
      <c r="P28" s="75"/>
      <c r="Q28" s="75"/>
      <c r="R28" s="75"/>
      <c r="S28" s="75"/>
      <c r="T28" s="75"/>
      <c r="U28" s="75"/>
      <c r="V28" s="75"/>
      <c r="W28" s="75"/>
      <c r="X28" s="75"/>
      <c r="Y28" s="75"/>
      <c r="Z28" s="75"/>
      <c r="AA28" s="75"/>
      <c r="AB28" s="75"/>
      <c r="AC28" s="75"/>
    </row>
    <row r="29" spans="1:29" s="126" customFormat="1" ht="24.75" hidden="1" customHeight="1">
      <c r="A29" s="224" t="s">
        <v>239</v>
      </c>
      <c r="B29" s="224"/>
      <c r="C29" s="224"/>
      <c r="D29" s="224"/>
      <c r="E29" s="224"/>
      <c r="F29" s="224"/>
      <c r="G29" s="224"/>
      <c r="H29" s="224"/>
      <c r="J29" s="77"/>
      <c r="K29" s="77"/>
      <c r="L29" s="127"/>
      <c r="M29" s="75"/>
      <c r="N29" s="75"/>
      <c r="O29" s="75"/>
      <c r="P29" s="75"/>
      <c r="Q29" s="75"/>
      <c r="R29" s="75"/>
      <c r="S29" s="75"/>
      <c r="T29" s="75"/>
      <c r="U29" s="75"/>
      <c r="V29" s="75"/>
      <c r="W29" s="75"/>
      <c r="X29" s="75"/>
      <c r="Y29" s="75"/>
      <c r="Z29" s="75"/>
      <c r="AA29" s="75"/>
      <c r="AB29" s="75"/>
      <c r="AC29" s="75"/>
    </row>
    <row r="30" spans="1:29" s="126" customFormat="1" ht="9" hidden="1" customHeight="1">
      <c r="A30" s="128"/>
      <c r="B30" s="128"/>
      <c r="C30" s="128"/>
      <c r="D30" s="128"/>
      <c r="E30" s="128"/>
      <c r="F30" s="129"/>
      <c r="G30" s="99"/>
      <c r="H30" s="99"/>
      <c r="J30" s="77"/>
      <c r="K30" s="77"/>
      <c r="L30" s="127"/>
      <c r="M30" s="75"/>
      <c r="N30" s="75"/>
      <c r="O30" s="75"/>
      <c r="P30" s="75"/>
      <c r="Q30" s="75"/>
      <c r="R30" s="75"/>
      <c r="S30" s="75"/>
      <c r="T30" s="75"/>
      <c r="U30" s="75"/>
      <c r="V30" s="75"/>
      <c r="W30" s="75"/>
      <c r="X30" s="75"/>
      <c r="Y30" s="75"/>
      <c r="Z30" s="75"/>
      <c r="AA30" s="75"/>
      <c r="AB30" s="75"/>
      <c r="AC30" s="75"/>
    </row>
    <row r="31" spans="1:29" s="126" customFormat="1" ht="28.5" hidden="1" customHeight="1">
      <c r="A31" s="224" t="s">
        <v>240</v>
      </c>
      <c r="B31" s="224"/>
      <c r="C31" s="224"/>
      <c r="D31" s="224"/>
      <c r="E31" s="224"/>
      <c r="F31" s="224"/>
      <c r="G31" s="224"/>
      <c r="H31" s="224"/>
      <c r="J31" s="77"/>
      <c r="K31" s="77"/>
      <c r="L31" s="127"/>
      <c r="M31" s="75"/>
      <c r="N31" s="75"/>
      <c r="O31" s="75"/>
      <c r="P31" s="75"/>
      <c r="Q31" s="75"/>
      <c r="R31" s="75"/>
      <c r="S31" s="75"/>
      <c r="T31" s="75"/>
      <c r="U31" s="75"/>
      <c r="V31" s="75"/>
      <c r="W31" s="75"/>
      <c r="X31" s="75"/>
      <c r="Y31" s="75"/>
      <c r="Z31" s="75"/>
      <c r="AA31" s="75"/>
      <c r="AB31" s="75"/>
      <c r="AC31" s="75"/>
    </row>
    <row r="32" spans="1:29" s="126" customFormat="1" ht="9" hidden="1" customHeight="1">
      <c r="A32" s="128"/>
      <c r="B32" s="128"/>
      <c r="C32" s="128"/>
      <c r="D32" s="128"/>
      <c r="E32" s="128"/>
      <c r="F32" s="129"/>
      <c r="G32" s="99"/>
      <c r="H32" s="99"/>
      <c r="J32" s="77"/>
      <c r="K32" s="77"/>
      <c r="L32" s="127"/>
      <c r="M32" s="75"/>
      <c r="N32" s="75"/>
      <c r="O32" s="75"/>
      <c r="P32" s="75"/>
      <c r="Q32" s="75"/>
      <c r="R32" s="75"/>
      <c r="S32" s="75"/>
      <c r="T32" s="75"/>
      <c r="U32" s="75"/>
      <c r="V32" s="75"/>
      <c r="W32" s="75"/>
      <c r="X32" s="75"/>
      <c r="Y32" s="75"/>
      <c r="Z32" s="75"/>
      <c r="AA32" s="75"/>
      <c r="AB32" s="75"/>
      <c r="AC32" s="75"/>
    </row>
    <row r="33" spans="1:29" s="126" customFormat="1" ht="26.25" hidden="1" customHeight="1">
      <c r="A33" s="224" t="s">
        <v>241</v>
      </c>
      <c r="B33" s="224"/>
      <c r="C33" s="224"/>
      <c r="D33" s="224"/>
      <c r="E33" s="224"/>
      <c r="F33" s="224"/>
      <c r="G33" s="224"/>
      <c r="H33" s="224"/>
      <c r="J33" s="77"/>
      <c r="K33" s="77"/>
      <c r="L33" s="127"/>
      <c r="M33" s="75"/>
      <c r="N33" s="75"/>
      <c r="O33" s="75"/>
      <c r="P33" s="75"/>
      <c r="Q33" s="75"/>
      <c r="R33" s="75"/>
      <c r="S33" s="75"/>
      <c r="T33" s="75"/>
      <c r="U33" s="75"/>
      <c r="V33" s="75"/>
      <c r="W33" s="75"/>
      <c r="X33" s="75"/>
      <c r="Y33" s="75"/>
      <c r="Z33" s="75"/>
      <c r="AA33" s="75"/>
      <c r="AB33" s="75"/>
      <c r="AC33" s="75"/>
    </row>
    <row r="34" spans="1:29" s="126" customFormat="1" ht="9" hidden="1" customHeight="1">
      <c r="A34" s="128"/>
      <c r="B34" s="128"/>
      <c r="C34" s="128"/>
      <c r="D34" s="128"/>
      <c r="E34" s="128"/>
      <c r="F34" s="129"/>
      <c r="G34" s="99"/>
      <c r="H34" s="99"/>
      <c r="J34" s="77"/>
      <c r="K34" s="77"/>
      <c r="L34" s="127"/>
      <c r="M34" s="75"/>
      <c r="N34" s="75"/>
      <c r="O34" s="75"/>
      <c r="P34" s="75"/>
      <c r="Q34" s="75"/>
      <c r="R34" s="75"/>
      <c r="S34" s="75"/>
      <c r="T34" s="75"/>
      <c r="U34" s="75"/>
      <c r="V34" s="75"/>
      <c r="W34" s="75"/>
      <c r="X34" s="75"/>
      <c r="Y34" s="75"/>
      <c r="Z34" s="75"/>
      <c r="AA34" s="75"/>
      <c r="AB34" s="75"/>
      <c r="AC34" s="75"/>
    </row>
    <row r="35" spans="1:29" s="126" customFormat="1" ht="51.75" hidden="1" customHeight="1">
      <c r="A35" s="224" t="s">
        <v>246</v>
      </c>
      <c r="B35" s="224"/>
      <c r="C35" s="224"/>
      <c r="D35" s="224"/>
      <c r="E35" s="224"/>
      <c r="F35" s="224"/>
      <c r="G35" s="224"/>
      <c r="H35" s="224"/>
      <c r="J35" s="77"/>
      <c r="K35" s="77"/>
      <c r="L35" s="127"/>
      <c r="M35" s="75"/>
      <c r="N35" s="75"/>
      <c r="O35" s="75"/>
      <c r="P35" s="75"/>
      <c r="Q35" s="75"/>
      <c r="R35" s="75"/>
      <c r="S35" s="75"/>
      <c r="T35" s="75"/>
      <c r="U35" s="75"/>
      <c r="V35" s="75"/>
      <c r="W35" s="75"/>
      <c r="X35" s="75"/>
      <c r="Y35" s="75"/>
      <c r="Z35" s="75"/>
      <c r="AA35" s="75"/>
      <c r="AB35" s="75"/>
      <c r="AC35" s="75"/>
    </row>
    <row r="36" spans="1:29" s="126" customFormat="1" ht="9" hidden="1" customHeight="1">
      <c r="A36" s="128"/>
      <c r="B36" s="128"/>
      <c r="C36" s="128"/>
      <c r="D36" s="128"/>
      <c r="E36" s="128"/>
      <c r="F36" s="129"/>
      <c r="G36" s="99"/>
      <c r="H36" s="99"/>
      <c r="J36" s="77"/>
      <c r="K36" s="77"/>
      <c r="L36" s="127"/>
      <c r="M36" s="75"/>
      <c r="N36" s="75"/>
      <c r="O36" s="75"/>
      <c r="P36" s="75"/>
      <c r="Q36" s="75"/>
      <c r="R36" s="75"/>
      <c r="S36" s="75"/>
      <c r="T36" s="75"/>
      <c r="U36" s="75"/>
      <c r="V36" s="75"/>
      <c r="W36" s="75"/>
      <c r="X36" s="75"/>
      <c r="Y36" s="75"/>
      <c r="Z36" s="75"/>
      <c r="AA36" s="75"/>
      <c r="AB36" s="75"/>
      <c r="AC36" s="75"/>
    </row>
    <row r="37" spans="1:29" s="126" customFormat="1" ht="27" hidden="1" customHeight="1">
      <c r="A37" s="224" t="s">
        <v>247</v>
      </c>
      <c r="B37" s="224"/>
      <c r="C37" s="224"/>
      <c r="D37" s="224"/>
      <c r="E37" s="224"/>
      <c r="F37" s="224"/>
      <c r="G37" s="224"/>
      <c r="H37" s="224"/>
      <c r="J37" s="77"/>
      <c r="K37" s="77"/>
      <c r="L37" s="127"/>
      <c r="M37" s="75"/>
      <c r="N37" s="75"/>
      <c r="O37" s="75"/>
      <c r="P37" s="75"/>
      <c r="Q37" s="75"/>
      <c r="R37" s="75"/>
      <c r="S37" s="75"/>
      <c r="T37" s="75"/>
      <c r="U37" s="75"/>
      <c r="V37" s="75"/>
      <c r="W37" s="75"/>
      <c r="X37" s="75"/>
      <c r="Y37" s="75"/>
      <c r="Z37" s="75"/>
      <c r="AA37" s="75"/>
      <c r="AB37" s="75"/>
      <c r="AC37" s="75"/>
    </row>
    <row r="38" spans="1:29" s="126" customFormat="1" ht="15" hidden="1" customHeight="1">
      <c r="A38" s="77"/>
      <c r="B38" s="99"/>
      <c r="C38" s="99"/>
      <c r="D38" s="99"/>
      <c r="E38" s="99"/>
      <c r="F38" s="99"/>
      <c r="G38" s="99"/>
      <c r="H38" s="99"/>
      <c r="J38" s="77"/>
      <c r="K38" s="77"/>
      <c r="L38" s="127"/>
      <c r="M38" s="75"/>
      <c r="N38" s="75"/>
      <c r="O38" s="75"/>
      <c r="P38" s="75"/>
      <c r="Q38" s="75"/>
      <c r="R38" s="75"/>
      <c r="S38" s="75"/>
      <c r="T38" s="75"/>
      <c r="U38" s="75"/>
      <c r="V38" s="75"/>
      <c r="W38" s="75"/>
      <c r="X38" s="75"/>
      <c r="Y38" s="75"/>
      <c r="Z38" s="75"/>
      <c r="AA38" s="75"/>
      <c r="AB38" s="75"/>
      <c r="AC38" s="75"/>
    </row>
    <row r="39" spans="1:29" s="126" customFormat="1" ht="15" customHeight="1">
      <c r="A39" s="194" t="s">
        <v>266</v>
      </c>
      <c r="B39" s="194"/>
      <c r="C39" s="194"/>
      <c r="D39" s="187"/>
      <c r="E39" s="187"/>
      <c r="F39" s="187"/>
      <c r="G39" s="187"/>
      <c r="H39" s="187"/>
    </row>
    <row r="40" spans="1:29" ht="9" customHeight="1">
      <c r="A40" s="77"/>
      <c r="P40" s="131"/>
    </row>
    <row r="41" spans="1:29" ht="15" customHeight="1">
      <c r="A41" s="75" t="s">
        <v>130</v>
      </c>
      <c r="D41" s="147">
        <v>20</v>
      </c>
      <c r="E41" s="75" t="s">
        <v>128</v>
      </c>
      <c r="P41" s="131"/>
    </row>
    <row r="42" spans="1:29" ht="15" customHeight="1">
      <c r="A42" s="75" t="s">
        <v>75</v>
      </c>
      <c r="D42" s="132">
        <f>LOOKUP(D41,'Viscosidad, Numero Hazen'!A5:A35,'Viscosidad, Numero Hazen'!E5:E35)</f>
        <v>1.0107890967011611E-2</v>
      </c>
      <c r="E42" s="75" t="s">
        <v>248</v>
      </c>
      <c r="P42" s="131"/>
    </row>
    <row r="43" spans="1:29" ht="15" customHeight="1">
      <c r="A43" s="75" t="s">
        <v>76</v>
      </c>
      <c r="D43" s="147">
        <v>0.02</v>
      </c>
      <c r="E43" s="75" t="s">
        <v>64</v>
      </c>
      <c r="P43" s="131"/>
    </row>
    <row r="44" spans="1:29" ht="15" customHeight="1">
      <c r="A44" s="75" t="s">
        <v>77</v>
      </c>
      <c r="D44" s="147">
        <v>87.5</v>
      </c>
      <c r="E44" s="75" t="s">
        <v>65</v>
      </c>
      <c r="P44" s="131"/>
    </row>
    <row r="45" spans="1:29" ht="15" customHeight="1">
      <c r="A45" s="75" t="s">
        <v>78</v>
      </c>
      <c r="D45" s="147">
        <v>981</v>
      </c>
      <c r="E45" s="75" t="s">
        <v>249</v>
      </c>
      <c r="P45" s="131"/>
    </row>
    <row r="46" spans="1:29" ht="15" customHeight="1">
      <c r="A46" s="75" t="s">
        <v>250</v>
      </c>
      <c r="D46" s="134">
        <v>2.65</v>
      </c>
      <c r="E46" s="75" t="s">
        <v>251</v>
      </c>
      <c r="F46" s="90" t="s">
        <v>190</v>
      </c>
      <c r="P46" s="131"/>
      <c r="V46" s="133"/>
      <c r="W46" s="133"/>
      <c r="X46" s="133"/>
      <c r="Y46" s="133"/>
      <c r="Z46" s="133"/>
      <c r="AA46" s="133"/>
      <c r="AB46" s="133"/>
      <c r="AC46" s="133"/>
    </row>
    <row r="47" spans="1:29" ht="15" customHeight="1">
      <c r="A47" s="75" t="s">
        <v>252</v>
      </c>
      <c r="D47" s="134">
        <v>1</v>
      </c>
      <c r="E47" s="75" t="s">
        <v>251</v>
      </c>
      <c r="J47" s="128"/>
      <c r="K47" s="128"/>
      <c r="L47" s="128"/>
      <c r="M47" s="128"/>
      <c r="N47" s="128"/>
      <c r="O47" s="129"/>
      <c r="P47" s="131"/>
      <c r="V47" s="133"/>
      <c r="W47" s="133"/>
      <c r="X47" s="133"/>
      <c r="Y47" s="133"/>
      <c r="Z47" s="133"/>
      <c r="AA47" s="133"/>
      <c r="AB47" s="133"/>
      <c r="AC47" s="133"/>
    </row>
    <row r="48" spans="1:29" s="77" customFormat="1" ht="9.9499999999999993" customHeight="1">
      <c r="A48" s="99"/>
      <c r="B48" s="99"/>
      <c r="C48" s="99"/>
      <c r="D48" s="99"/>
      <c r="E48" s="99"/>
      <c r="F48" s="99"/>
      <c r="G48" s="99"/>
    </row>
    <row r="49" spans="1:29" s="77" customFormat="1" ht="15" customHeight="1">
      <c r="A49" s="194" t="s">
        <v>267</v>
      </c>
      <c r="B49" s="194"/>
      <c r="C49" s="194"/>
      <c r="D49" s="187"/>
      <c r="E49" s="187"/>
      <c r="F49" s="187"/>
      <c r="G49" s="187"/>
      <c r="H49" s="187"/>
    </row>
    <row r="50" spans="1:29" s="77" customFormat="1" ht="9.9499999999999993" customHeight="1">
      <c r="B50" s="81"/>
      <c r="C50" s="81"/>
      <c r="D50" s="81"/>
      <c r="E50" s="81"/>
      <c r="F50" s="81"/>
      <c r="G50" s="81"/>
    </row>
    <row r="51" spans="1:29" ht="15" customHeight="1">
      <c r="A51" s="194" t="s">
        <v>268</v>
      </c>
      <c r="B51" s="187"/>
      <c r="C51" s="187"/>
      <c r="D51" s="187"/>
      <c r="E51" s="187"/>
      <c r="F51" s="187"/>
      <c r="G51" s="187"/>
      <c r="H51" s="187"/>
      <c r="P51" s="131"/>
      <c r="V51" s="133"/>
      <c r="W51" s="133"/>
      <c r="X51" s="133"/>
      <c r="Y51" s="133"/>
      <c r="Z51" s="133"/>
      <c r="AA51" s="133"/>
      <c r="AB51" s="133"/>
      <c r="AC51" s="133"/>
    </row>
    <row r="52" spans="1:29" ht="9.9499999999999993" customHeight="1">
      <c r="A52" s="77"/>
      <c r="P52" s="131"/>
      <c r="V52" s="133"/>
      <c r="W52" s="133"/>
      <c r="X52" s="133"/>
      <c r="Y52" s="133"/>
      <c r="Z52" s="133"/>
      <c r="AA52" s="133"/>
      <c r="AB52" s="133"/>
      <c r="AC52" s="133"/>
    </row>
    <row r="53" spans="1:29" ht="15" customHeight="1">
      <c r="A53" s="229" t="s">
        <v>131</v>
      </c>
      <c r="B53" s="229"/>
      <c r="C53" s="229"/>
      <c r="D53" s="229"/>
      <c r="E53" s="229"/>
      <c r="F53" s="229"/>
      <c r="G53" s="229"/>
      <c r="H53" s="229"/>
      <c r="P53" s="131"/>
      <c r="V53" s="133"/>
      <c r="W53" s="133"/>
      <c r="X53" s="133"/>
      <c r="Y53" s="133"/>
      <c r="Z53" s="133"/>
      <c r="AA53" s="133"/>
      <c r="AB53" s="133"/>
      <c r="AC53" s="133"/>
    </row>
    <row r="54" spans="1:29" ht="9.9499999999999993" customHeight="1">
      <c r="P54" s="131"/>
      <c r="V54" s="133"/>
      <c r="W54" s="133"/>
      <c r="X54" s="133"/>
      <c r="Y54" s="133"/>
      <c r="Z54" s="133"/>
      <c r="AA54" s="133"/>
      <c r="AB54" s="133"/>
      <c r="AC54" s="133"/>
    </row>
    <row r="55" spans="1:29" s="77" customFormat="1" ht="15" customHeight="1">
      <c r="B55" s="135"/>
      <c r="C55" s="230" t="s">
        <v>253</v>
      </c>
      <c r="D55" s="230"/>
      <c r="E55" s="230"/>
      <c r="F55" s="231" t="s">
        <v>132</v>
      </c>
      <c r="G55" s="232"/>
      <c r="H55" s="135"/>
      <c r="P55" s="131"/>
      <c r="Q55" s="75"/>
      <c r="R55" s="75"/>
      <c r="S55" s="75"/>
      <c r="T55" s="75"/>
      <c r="U55" s="75"/>
      <c r="V55" s="87"/>
      <c r="W55" s="87"/>
      <c r="X55" s="87"/>
      <c r="Y55" s="87"/>
      <c r="Z55" s="87"/>
      <c r="AA55" s="87"/>
      <c r="AB55" s="87"/>
      <c r="AC55" s="87"/>
    </row>
    <row r="56" spans="1:29" ht="9.9499999999999993" customHeight="1">
      <c r="P56" s="131"/>
      <c r="V56" s="133"/>
      <c r="W56" s="133"/>
      <c r="X56" s="133"/>
      <c r="Y56" s="133"/>
      <c r="Z56" s="133"/>
      <c r="AA56" s="133"/>
      <c r="AB56" s="133"/>
      <c r="AC56" s="133"/>
    </row>
    <row r="57" spans="1:29" ht="15" customHeight="1">
      <c r="C57" s="190" t="s">
        <v>254</v>
      </c>
      <c r="D57" s="190"/>
      <c r="E57" s="190"/>
      <c r="F57" s="77" t="s">
        <v>284</v>
      </c>
      <c r="P57" s="131"/>
      <c r="V57" s="133"/>
      <c r="W57" s="133"/>
      <c r="X57" s="133"/>
      <c r="Y57" s="133"/>
      <c r="Z57" s="133"/>
      <c r="AA57" s="133"/>
      <c r="AB57" s="133"/>
      <c r="AC57" s="133"/>
    </row>
    <row r="58" spans="1:29" ht="9.9499999999999993" customHeight="1">
      <c r="P58" s="131"/>
      <c r="V58" s="133"/>
      <c r="W58" s="133"/>
      <c r="X58" s="133"/>
      <c r="Y58" s="133"/>
      <c r="Z58" s="133"/>
      <c r="AA58" s="133"/>
      <c r="AB58" s="133"/>
      <c r="AC58" s="133"/>
    </row>
    <row r="59" spans="1:29" ht="15" customHeight="1">
      <c r="C59" s="84" t="s">
        <v>255</v>
      </c>
      <c r="D59" s="83">
        <f>(D45*(D46-D47)*D43^2)/(18*D42)</f>
        <v>3.558605857284439</v>
      </c>
      <c r="E59" s="75" t="s">
        <v>66</v>
      </c>
      <c r="P59" s="131"/>
      <c r="V59" s="133"/>
      <c r="W59" s="133"/>
      <c r="X59" s="133"/>
      <c r="Y59" s="133"/>
      <c r="Z59" s="133"/>
      <c r="AA59" s="133"/>
      <c r="AB59" s="133"/>
      <c r="AC59" s="133"/>
    </row>
    <row r="60" spans="1:29" ht="15" customHeight="1">
      <c r="A60" s="75" t="s">
        <v>256</v>
      </c>
      <c r="D60" s="134">
        <v>2.1</v>
      </c>
      <c r="E60" s="75" t="s">
        <v>66</v>
      </c>
      <c r="F60" s="77" t="s">
        <v>284</v>
      </c>
      <c r="P60" s="131"/>
      <c r="V60" s="133"/>
      <c r="W60" s="133"/>
      <c r="X60" s="133"/>
      <c r="Y60" s="133"/>
      <c r="Z60" s="133"/>
      <c r="AA60" s="133"/>
      <c r="AB60" s="133"/>
      <c r="AC60" s="133"/>
    </row>
    <row r="61" spans="1:29" ht="15" customHeight="1">
      <c r="A61" s="75" t="s">
        <v>272</v>
      </c>
      <c r="D61" s="83">
        <f>+D60*((D41+23.3)/33.3)</f>
        <v>2.7306306306306309</v>
      </c>
      <c r="E61" s="75" t="s">
        <v>66</v>
      </c>
    </row>
    <row r="62" spans="1:29" ht="9.9499999999999993" customHeight="1">
      <c r="D62" s="89"/>
    </row>
    <row r="63" spans="1:29" ht="15" customHeight="1">
      <c r="A63" s="77" t="s">
        <v>257</v>
      </c>
      <c r="B63" s="77"/>
      <c r="C63" s="77"/>
      <c r="D63" s="148">
        <f>(+D61+D59)/2</f>
        <v>3.144618243957535</v>
      </c>
      <c r="E63" s="77" t="s">
        <v>66</v>
      </c>
    </row>
    <row r="64" spans="1:29" s="77" customFormat="1" ht="9.9499999999999993" customHeight="1">
      <c r="B64" s="81"/>
      <c r="C64" s="81"/>
      <c r="D64" s="81"/>
      <c r="E64" s="81"/>
      <c r="F64" s="81"/>
      <c r="G64" s="81"/>
    </row>
    <row r="65" spans="1:29" ht="15" customHeight="1">
      <c r="A65" s="194" t="s">
        <v>269</v>
      </c>
      <c r="B65" s="187"/>
      <c r="C65" s="187"/>
      <c r="D65" s="187"/>
      <c r="E65" s="187"/>
      <c r="F65" s="187"/>
      <c r="G65" s="187"/>
      <c r="H65" s="187"/>
      <c r="P65" s="131"/>
      <c r="V65" s="133"/>
      <c r="W65" s="133"/>
      <c r="X65" s="133"/>
      <c r="Y65" s="133"/>
      <c r="Z65" s="133"/>
      <c r="AA65" s="133"/>
      <c r="AB65" s="133"/>
      <c r="AC65" s="133"/>
    </row>
    <row r="66" spans="1:29" ht="9.9499999999999993" customHeight="1">
      <c r="A66" s="77"/>
      <c r="P66" s="131"/>
      <c r="V66" s="133"/>
      <c r="W66" s="133"/>
      <c r="X66" s="133"/>
      <c r="Y66" s="133"/>
      <c r="Z66" s="133"/>
      <c r="AA66" s="133"/>
      <c r="AB66" s="133"/>
      <c r="AC66" s="133"/>
    </row>
    <row r="67" spans="1:29" ht="15" customHeight="1">
      <c r="A67" s="77" t="s">
        <v>86</v>
      </c>
      <c r="B67" s="77"/>
      <c r="C67" s="77"/>
      <c r="D67" s="136"/>
      <c r="E67" s="77"/>
    </row>
    <row r="68" spans="1:29" ht="15" customHeight="1">
      <c r="A68" s="75" t="s">
        <v>89</v>
      </c>
      <c r="C68" s="84" t="s">
        <v>90</v>
      </c>
      <c r="D68" s="134">
        <v>0.88</v>
      </c>
      <c r="E68" s="75" t="s">
        <v>54</v>
      </c>
    </row>
    <row r="69" spans="1:29" ht="15" customHeight="1">
      <c r="A69" s="75" t="s">
        <v>91</v>
      </c>
      <c r="C69" s="84" t="s">
        <v>92</v>
      </c>
      <c r="D69" s="134">
        <v>2.84</v>
      </c>
      <c r="E69" s="75" t="s">
        <v>54</v>
      </c>
    </row>
    <row r="70" spans="1:29" ht="15" customHeight="1">
      <c r="A70" s="75" t="s">
        <v>93</v>
      </c>
      <c r="C70" s="84" t="s">
        <v>94</v>
      </c>
      <c r="D70" s="134">
        <v>0.8</v>
      </c>
      <c r="E70" s="75" t="s">
        <v>54</v>
      </c>
    </row>
    <row r="71" spans="1:29" ht="15" customHeight="1">
      <c r="A71" s="86" t="s">
        <v>96</v>
      </c>
      <c r="B71" s="84"/>
      <c r="C71" s="84" t="s">
        <v>95</v>
      </c>
      <c r="D71" s="85">
        <f>+D70*D69*D68</f>
        <v>1.9993599999999998</v>
      </c>
      <c r="E71" s="75" t="s">
        <v>258</v>
      </c>
      <c r="F71" s="89"/>
    </row>
    <row r="72" spans="1:29" ht="9.9499999999999993" customHeight="1">
      <c r="A72" s="86"/>
      <c r="B72" s="84"/>
      <c r="C72" s="84"/>
      <c r="D72" s="83"/>
      <c r="F72" s="89"/>
    </row>
    <row r="73" spans="1:29" ht="15" customHeight="1">
      <c r="A73" s="77" t="s">
        <v>97</v>
      </c>
      <c r="B73" s="77"/>
      <c r="C73" s="77"/>
      <c r="D73" s="149">
        <f>+D68*100/D63</f>
        <v>27.9843189770632</v>
      </c>
      <c r="E73" s="77" t="s">
        <v>67</v>
      </c>
    </row>
    <row r="74" spans="1:29" s="77" customFormat="1" ht="9.9499999999999993" customHeight="1">
      <c r="B74" s="81"/>
      <c r="C74" s="81"/>
      <c r="D74" s="81"/>
      <c r="E74" s="81"/>
      <c r="F74" s="81"/>
      <c r="G74" s="81"/>
    </row>
    <row r="75" spans="1:29" ht="15" customHeight="1">
      <c r="A75" s="194" t="s">
        <v>270</v>
      </c>
      <c r="B75" s="187"/>
      <c r="C75" s="187"/>
      <c r="D75" s="187"/>
      <c r="E75" s="187"/>
      <c r="F75" s="187"/>
      <c r="G75" s="187"/>
      <c r="H75" s="187"/>
      <c r="P75" s="131"/>
      <c r="V75" s="133"/>
      <c r="W75" s="133"/>
      <c r="X75" s="133"/>
      <c r="Y75" s="133"/>
      <c r="Z75" s="133"/>
      <c r="AA75" s="133"/>
      <c r="AB75" s="133"/>
      <c r="AC75" s="133"/>
    </row>
    <row r="76" spans="1:29" ht="9.9499999999999993" customHeight="1">
      <c r="A76" s="77"/>
      <c r="P76" s="131"/>
      <c r="V76" s="133"/>
      <c r="W76" s="133"/>
      <c r="X76" s="133"/>
      <c r="Y76" s="133"/>
      <c r="Z76" s="133"/>
      <c r="AA76" s="133"/>
      <c r="AB76" s="133"/>
      <c r="AC76" s="133"/>
    </row>
    <row r="77" spans="1:29" ht="15" customHeight="1">
      <c r="C77" s="137" t="s">
        <v>85</v>
      </c>
      <c r="D77" s="138">
        <v>2</v>
      </c>
    </row>
    <row r="78" spans="1:29" ht="15" customHeight="1">
      <c r="A78" s="139" t="s">
        <v>81</v>
      </c>
      <c r="D78" s="109">
        <v>1</v>
      </c>
    </row>
    <row r="79" spans="1:29" ht="15" customHeight="1">
      <c r="A79" s="139" t="s">
        <v>83</v>
      </c>
      <c r="D79" s="109">
        <v>2</v>
      </c>
    </row>
    <row r="80" spans="1:29" ht="15" customHeight="1">
      <c r="A80" s="139" t="s">
        <v>84</v>
      </c>
      <c r="D80" s="109">
        <v>3</v>
      </c>
    </row>
    <row r="81" spans="1:29" ht="15" customHeight="1">
      <c r="A81" s="75" t="s">
        <v>133</v>
      </c>
      <c r="D81" s="83"/>
      <c r="E81" s="84"/>
      <c r="F81" s="86">
        <f>IF(H81=87.5,LOOKUP(D77,'Viscosidad, Numero Hazen'!B40:B42,'Viscosidad, Numero Hazen'!C40:C42),LOOKUP(D77,'Viscosidad, Numero Hazen'!B40:B42,'Viscosidad, Numero Hazen'!D40:D42))</f>
        <v>2.75</v>
      </c>
      <c r="G81" s="84" t="s">
        <v>80</v>
      </c>
      <c r="H81" s="150">
        <f>+D44</f>
        <v>87.5</v>
      </c>
    </row>
    <row r="82" spans="1:29" ht="9.9499999999999993" customHeight="1">
      <c r="D82" s="83"/>
      <c r="E82" s="84"/>
      <c r="F82" s="86"/>
      <c r="G82" s="84"/>
      <c r="H82" s="86"/>
    </row>
    <row r="83" spans="1:29" ht="15" customHeight="1">
      <c r="A83" s="140" t="s">
        <v>79</v>
      </c>
      <c r="B83" s="141"/>
      <c r="C83" s="141"/>
      <c r="D83" s="142">
        <f>+F81*D73/60</f>
        <v>1.2826146197820634</v>
      </c>
      <c r="E83" s="140" t="s">
        <v>118</v>
      </c>
      <c r="F83" s="233" t="str">
        <f>+IF(D83&gt;=20,"OK, cumple Resolución 1096, artículo 109 del RAS/2.000","No cumple Resolución 1096, artículo 109 del RAS/2.000 (a &gt; 20 min)")</f>
        <v>No cumple Resolución 1096, artículo 109 del RAS/2.000 (a &gt; 20 min)</v>
      </c>
      <c r="G83" s="233"/>
      <c r="H83" s="233"/>
    </row>
    <row r="84" spans="1:29" ht="15" customHeight="1">
      <c r="D84" s="109"/>
      <c r="F84" s="233"/>
      <c r="G84" s="233"/>
      <c r="H84" s="233"/>
    </row>
    <row r="85" spans="1:29" s="77" customFormat="1" ht="9.9499999999999993" customHeight="1">
      <c r="B85" s="81"/>
      <c r="C85" s="81"/>
      <c r="D85" s="81"/>
      <c r="E85" s="81"/>
      <c r="F85" s="81"/>
      <c r="G85" s="81"/>
    </row>
    <row r="86" spans="1:29" ht="15" customHeight="1">
      <c r="A86" s="194" t="s">
        <v>273</v>
      </c>
      <c r="B86" s="187"/>
      <c r="C86" s="187"/>
      <c r="D86" s="187"/>
      <c r="E86" s="187"/>
      <c r="F86" s="187"/>
      <c r="G86" s="187"/>
      <c r="H86" s="187"/>
      <c r="P86" s="131"/>
      <c r="V86" s="133"/>
      <c r="W86" s="133"/>
      <c r="X86" s="133"/>
      <c r="Y86" s="133"/>
      <c r="Z86" s="133"/>
      <c r="AA86" s="133"/>
      <c r="AB86" s="133"/>
      <c r="AC86" s="133"/>
    </row>
    <row r="87" spans="1:29" ht="9.9499999999999993" customHeight="1">
      <c r="A87" s="77"/>
      <c r="P87" s="131"/>
      <c r="V87" s="133"/>
      <c r="W87" s="133"/>
      <c r="X87" s="133"/>
      <c r="Y87" s="133"/>
      <c r="Z87" s="133"/>
      <c r="AA87" s="133"/>
      <c r="AB87" s="133"/>
      <c r="AC87" s="133"/>
    </row>
    <row r="88" spans="1:29" ht="15" customHeight="1">
      <c r="C88" s="144" t="s">
        <v>123</v>
      </c>
      <c r="E88" s="137" t="s">
        <v>271</v>
      </c>
      <c r="F88" s="114">
        <f>ROUND((1000*D71/D83/60),1)</f>
        <v>26</v>
      </c>
      <c r="G88" s="77" t="s">
        <v>129</v>
      </c>
    </row>
    <row r="89" spans="1:29" ht="9.9499999999999993" customHeight="1">
      <c r="D89" s="89"/>
    </row>
    <row r="90" spans="1:29" ht="30" customHeight="1">
      <c r="A90" s="229" t="str">
        <f>+CONCATENATE("De acuerdo con lo anterior, el desarenador existente según las consideraciones hidráulicas teóricas usadas para el presente proyecto, tiene una capacidad máxima de tratar hasta ",F88,"L/s.")</f>
        <v>De acuerdo con lo anterior, el desarenador existente según las consideraciones hidráulicas teóricas usadas para el presente proyecto, tiene una capacidad máxima de tratar hasta 26L/s.</v>
      </c>
      <c r="B90" s="229"/>
      <c r="C90" s="229"/>
      <c r="D90" s="229"/>
      <c r="E90" s="229"/>
      <c r="F90" s="229"/>
      <c r="G90" s="229"/>
      <c r="H90" s="229"/>
    </row>
    <row r="91" spans="1:29" s="77" customFormat="1" ht="9.9499999999999993" customHeight="1">
      <c r="B91" s="81"/>
      <c r="C91" s="81"/>
      <c r="D91" s="81"/>
      <c r="E91" s="81"/>
      <c r="F91" s="81"/>
      <c r="G91" s="81"/>
    </row>
    <row r="92" spans="1:29" ht="15" customHeight="1">
      <c r="A92" s="194" t="s">
        <v>274</v>
      </c>
      <c r="B92" s="187"/>
      <c r="C92" s="187"/>
      <c r="D92" s="187"/>
      <c r="E92" s="187"/>
      <c r="F92" s="187"/>
      <c r="G92" s="187"/>
      <c r="H92" s="187"/>
      <c r="P92" s="131"/>
      <c r="V92" s="133"/>
      <c r="W92" s="133"/>
      <c r="X92" s="133"/>
      <c r="Y92" s="133"/>
      <c r="Z92" s="133"/>
      <c r="AA92" s="133"/>
      <c r="AB92" s="133"/>
      <c r="AC92" s="133"/>
    </row>
    <row r="93" spans="1:29" ht="9.9499999999999993" customHeight="1">
      <c r="A93" s="77"/>
      <c r="P93" s="131"/>
      <c r="V93" s="133"/>
      <c r="W93" s="133"/>
      <c r="X93" s="133"/>
      <c r="Y93" s="133"/>
      <c r="Z93" s="133"/>
      <c r="AA93" s="133"/>
      <c r="AB93" s="133"/>
      <c r="AC93" s="133"/>
    </row>
    <row r="94" spans="1:29" ht="15" customHeight="1">
      <c r="C94" s="230" t="s">
        <v>259</v>
      </c>
      <c r="D94" s="230"/>
      <c r="E94" s="230"/>
    </row>
    <row r="95" spans="1:29" ht="9.9499999999999993" customHeight="1">
      <c r="A95" s="77"/>
      <c r="P95" s="131"/>
      <c r="V95" s="133"/>
      <c r="W95" s="133"/>
      <c r="X95" s="133"/>
      <c r="Y95" s="133"/>
      <c r="Z95" s="133"/>
      <c r="AA95" s="133"/>
      <c r="AB95" s="133"/>
      <c r="AC95" s="133"/>
    </row>
    <row r="96" spans="1:29" ht="15" customHeight="1">
      <c r="A96" s="84" t="s">
        <v>88</v>
      </c>
      <c r="C96" s="137" t="s">
        <v>260</v>
      </c>
      <c r="D96" s="156">
        <f>+D97/(1000*D98*D99)</f>
        <v>3.6931818181818184E-2</v>
      </c>
      <c r="E96" s="77" t="s">
        <v>122</v>
      </c>
      <c r="F96" s="77" t="str">
        <f>+IF(D96&lt;0.25,"Ok, cumple","No cumple")</f>
        <v>Ok, cumple</v>
      </c>
    </row>
    <row r="97" spans="1:29" ht="15" customHeight="1">
      <c r="C97" s="84" t="s">
        <v>119</v>
      </c>
      <c r="D97" s="152">
        <f>+F88</f>
        <v>26</v>
      </c>
      <c r="E97" s="75" t="s">
        <v>129</v>
      </c>
      <c r="F97" s="75" t="s">
        <v>261</v>
      </c>
      <c r="G97" s="86" t="s">
        <v>191</v>
      </c>
    </row>
    <row r="98" spans="1:29" ht="15" customHeight="1">
      <c r="C98" s="84" t="s">
        <v>120</v>
      </c>
      <c r="D98" s="88">
        <f>+D70</f>
        <v>0.8</v>
      </c>
      <c r="E98" s="75" t="s">
        <v>54</v>
      </c>
    </row>
    <row r="99" spans="1:29" ht="15" customHeight="1">
      <c r="C99" s="84" t="s">
        <v>121</v>
      </c>
      <c r="D99" s="88">
        <f>+D68</f>
        <v>0.88</v>
      </c>
      <c r="E99" s="75" t="s">
        <v>54</v>
      </c>
    </row>
    <row r="100" spans="1:29" ht="9.9499999999999993" customHeight="1">
      <c r="D100" s="109"/>
    </row>
    <row r="101" spans="1:29" ht="15" customHeight="1">
      <c r="A101" s="77" t="s">
        <v>262</v>
      </c>
      <c r="C101" s="84"/>
      <c r="D101" s="143" t="s">
        <v>263</v>
      </c>
      <c r="E101" s="88">
        <f>+ROUND((D96/(D63/100)),1)</f>
        <v>1.2</v>
      </c>
      <c r="F101" s="77" t="str">
        <f>+IF(E101&lt;20,"Cumple","No cumple")</f>
        <v>Cumple</v>
      </c>
    </row>
    <row r="102" spans="1:29" ht="15" customHeight="1">
      <c r="D102" s="109"/>
      <c r="F102" s="75" t="s">
        <v>264</v>
      </c>
      <c r="G102" s="75" t="s">
        <v>192</v>
      </c>
    </row>
    <row r="103" spans="1:29" ht="9.9499999999999993" customHeight="1">
      <c r="D103" s="89"/>
    </row>
    <row r="104" spans="1:29" ht="54.95" customHeight="1">
      <c r="A104" s="229" t="str">
        <f>CONCATENATE("Según los anteriores cálculos, se tiene que la relación entre la velocidad horizontal y la velocidad de sedimentación esta por debajo de la recomendada por el RAS/2000; además la velocidad horizontal ",ROUND(D96,3),"m/s, es inferior a la máxima recomendada (",F97,"). De otro lado, la relación entre velocidades (Rv), tiene un valor de ",E101,", cumpliendo con lo especificado en el RAS/2000 (",F102,").")</f>
        <v>Según los anteriores cálculos, se tiene que la relación entre la velocidad horizontal y la velocidad de sedimentación esta por debajo de la recomendada por el RAS/2000; además la velocidad horizontal 0,037m/s, es inferior a la máxima recomendada (VH &lt; 0,25m/s). De otro lado, la relación entre velocidades (Rv), tiene un valor de 1,2, cumpliendo con lo especificado en el RAS/2000 (RV &lt; 20).</v>
      </c>
      <c r="B104" s="229"/>
      <c r="C104" s="229"/>
      <c r="D104" s="229"/>
      <c r="E104" s="229"/>
      <c r="F104" s="229"/>
      <c r="G104" s="229"/>
      <c r="H104" s="229"/>
    </row>
    <row r="105" spans="1:29" s="77" customFormat="1" ht="9.9499999999999993" customHeight="1">
      <c r="B105" s="81"/>
      <c r="C105" s="81"/>
      <c r="D105" s="81"/>
      <c r="E105" s="81"/>
      <c r="F105" s="81"/>
      <c r="G105" s="81"/>
    </row>
    <row r="106" spans="1:29" ht="15" customHeight="1">
      <c r="A106" s="194" t="s">
        <v>275</v>
      </c>
      <c r="B106" s="187"/>
      <c r="C106" s="187"/>
      <c r="D106" s="187"/>
      <c r="E106" s="187"/>
      <c r="F106" s="187"/>
      <c r="G106" s="187"/>
      <c r="H106" s="187"/>
      <c r="P106" s="131"/>
      <c r="V106" s="133"/>
      <c r="W106" s="133"/>
      <c r="X106" s="133"/>
      <c r="Y106" s="133"/>
      <c r="Z106" s="133"/>
      <c r="AA106" s="133"/>
      <c r="AB106" s="133"/>
      <c r="AC106" s="133"/>
    </row>
    <row r="107" spans="1:29" ht="9.9499999999999993" customHeight="1">
      <c r="A107" s="77"/>
      <c r="P107" s="131"/>
      <c r="V107" s="133"/>
      <c r="W107" s="133"/>
      <c r="X107" s="133"/>
      <c r="Y107" s="133"/>
      <c r="Z107" s="133"/>
      <c r="AA107" s="133"/>
      <c r="AB107" s="133"/>
      <c r="AC107" s="133"/>
    </row>
    <row r="108" spans="1:29" s="77" customFormat="1" ht="15" customHeight="1">
      <c r="B108" s="81"/>
      <c r="C108" s="230" t="s">
        <v>283</v>
      </c>
      <c r="D108" s="230"/>
      <c r="E108" s="230"/>
      <c r="F108" s="75"/>
      <c r="G108" s="81"/>
    </row>
    <row r="109" spans="1:29" ht="9.9499999999999993" customHeight="1">
      <c r="A109" s="77"/>
      <c r="P109" s="131"/>
      <c r="V109" s="133"/>
      <c r="W109" s="133"/>
      <c r="X109" s="133"/>
      <c r="Y109" s="133"/>
      <c r="Z109" s="133"/>
      <c r="AA109" s="133"/>
      <c r="AB109" s="133"/>
      <c r="AC109" s="133"/>
    </row>
    <row r="110" spans="1:29" ht="15" customHeight="1">
      <c r="A110" s="84" t="s">
        <v>88</v>
      </c>
      <c r="C110" s="137" t="s">
        <v>276</v>
      </c>
      <c r="D110" s="157">
        <f>ROUND((125*((D112-1)*D113)^0.5),1)</f>
        <v>22.7</v>
      </c>
      <c r="E110" s="77" t="s">
        <v>134</v>
      </c>
    </row>
    <row r="111" spans="1:29" ht="15" customHeight="1">
      <c r="A111" s="99"/>
      <c r="C111" s="137" t="s">
        <v>276</v>
      </c>
      <c r="D111" s="98">
        <f>+D110/100</f>
        <v>0.22699999999999998</v>
      </c>
      <c r="E111" s="77" t="s">
        <v>122</v>
      </c>
      <c r="F111" s="77" t="str">
        <f>IF(D111&gt;D96,"Ok, cumple la condición Va &gt; VH","No cumple con la condición Va &gt; VH")</f>
        <v>Ok, cumple la condición Va &gt; VH</v>
      </c>
      <c r="G111" s="77"/>
    </row>
    <row r="112" spans="1:29" ht="15" customHeight="1">
      <c r="C112" s="84" t="s">
        <v>135</v>
      </c>
      <c r="D112" s="88">
        <v>2.65</v>
      </c>
      <c r="F112" s="77"/>
    </row>
    <row r="113" spans="1:29" ht="15" customHeight="1">
      <c r="C113" s="84" t="s">
        <v>136</v>
      </c>
      <c r="D113" s="95">
        <f>+D43</f>
        <v>0.02</v>
      </c>
      <c r="E113" s="75" t="s">
        <v>64</v>
      </c>
      <c r="F113" s="77"/>
    </row>
    <row r="114" spans="1:29" ht="9.9499999999999993" customHeight="1">
      <c r="C114" s="84"/>
      <c r="D114" s="151"/>
      <c r="F114" s="77"/>
    </row>
    <row r="115" spans="1:29" ht="30" customHeight="1">
      <c r="A115" s="229" t="str">
        <f>+CONCATENATE("Según lo anterior, se tiene que el desarenador presenta una velocidad de arrastre igual a ",D111,"m/s, cumpliendo con la condición (Va&gt;VH).")</f>
        <v>Según lo anterior, se tiene que el desarenador presenta una velocidad de arrastre igual a 0,227m/s, cumpliendo con la condición (Va&gt;VH).</v>
      </c>
      <c r="B115" s="229"/>
      <c r="C115" s="229"/>
      <c r="D115" s="229"/>
      <c r="E115" s="229"/>
      <c r="F115" s="229"/>
      <c r="G115" s="229"/>
      <c r="H115" s="229"/>
    </row>
    <row r="116" spans="1:29" s="77" customFormat="1" ht="9.9499999999999993" customHeight="1">
      <c r="B116" s="81"/>
      <c r="C116" s="81"/>
      <c r="D116" s="81"/>
      <c r="E116" s="81"/>
      <c r="F116" s="81"/>
      <c r="G116" s="81"/>
    </row>
    <row r="117" spans="1:29" ht="15" customHeight="1">
      <c r="A117" s="194" t="s">
        <v>277</v>
      </c>
      <c r="B117" s="187"/>
      <c r="C117" s="187"/>
      <c r="D117" s="187"/>
      <c r="E117" s="187"/>
      <c r="F117" s="187"/>
      <c r="G117" s="187"/>
      <c r="H117" s="187"/>
      <c r="P117" s="131"/>
      <c r="V117" s="133"/>
      <c r="W117" s="133"/>
      <c r="X117" s="133"/>
      <c r="Y117" s="133"/>
      <c r="Z117" s="133"/>
      <c r="AA117" s="133"/>
      <c r="AB117" s="133"/>
      <c r="AC117" s="133"/>
    </row>
    <row r="118" spans="1:29" ht="9.9499999999999993" customHeight="1">
      <c r="A118" s="77"/>
      <c r="P118" s="131"/>
      <c r="V118" s="133"/>
      <c r="W118" s="133"/>
      <c r="X118" s="133"/>
      <c r="Y118" s="133"/>
      <c r="Z118" s="133"/>
      <c r="AA118" s="133"/>
      <c r="AB118" s="133"/>
      <c r="AC118" s="133"/>
    </row>
    <row r="119" spans="1:29" s="77" customFormat="1" ht="15" customHeight="1">
      <c r="B119" s="81"/>
      <c r="C119" s="230" t="s">
        <v>282</v>
      </c>
      <c r="D119" s="230"/>
      <c r="E119" s="230"/>
      <c r="F119" s="91"/>
      <c r="G119" s="81"/>
    </row>
    <row r="120" spans="1:29" ht="9.9499999999999993" customHeight="1">
      <c r="A120" s="77"/>
      <c r="P120" s="131"/>
      <c r="V120" s="133"/>
      <c r="W120" s="133"/>
      <c r="X120" s="133"/>
      <c r="Y120" s="133"/>
      <c r="Z120" s="133"/>
      <c r="AA120" s="133"/>
      <c r="AB120" s="133"/>
      <c r="AC120" s="133"/>
    </row>
    <row r="121" spans="1:29" ht="15" customHeight="1">
      <c r="C121" s="84" t="s">
        <v>107</v>
      </c>
      <c r="D121" s="84" t="s">
        <v>106</v>
      </c>
      <c r="E121" s="75" t="s">
        <v>111</v>
      </c>
    </row>
    <row r="122" spans="1:29" ht="15" customHeight="1">
      <c r="D122" s="84" t="s">
        <v>108</v>
      </c>
      <c r="E122" s="75" t="s">
        <v>113</v>
      </c>
    </row>
    <row r="123" spans="1:29" ht="15" customHeight="1">
      <c r="D123" s="84" t="s">
        <v>109</v>
      </c>
      <c r="E123" s="75" t="s">
        <v>112</v>
      </c>
    </row>
    <row r="124" spans="1:29" ht="15" customHeight="1">
      <c r="D124" s="84" t="s">
        <v>110</v>
      </c>
      <c r="E124" s="75" t="s">
        <v>265</v>
      </c>
    </row>
    <row r="125" spans="1:29" ht="9.9499999999999993" customHeight="1"/>
    <row r="126" spans="1:29" ht="15" customHeight="1">
      <c r="C126" s="145" t="s">
        <v>106</v>
      </c>
      <c r="D126" s="155">
        <f>+ROUND((D43*D63/D42),2)</f>
        <v>6.22</v>
      </c>
      <c r="E126" s="101" t="str">
        <f>+IF(D126&lt; 4,"Ok, cumple Flujo en transición; Re &lt; 4","No Cumple Flujo en transición; Re &lt; 4")</f>
        <v>No Cumple Flujo en transición; Re &lt; 4</v>
      </c>
    </row>
    <row r="127" spans="1:29" ht="9.9499999999999993" customHeight="1">
      <c r="C127" s="145"/>
      <c r="D127" s="146"/>
      <c r="E127" s="101"/>
    </row>
    <row r="128" spans="1:29" ht="45" customHeight="1">
      <c r="A128" s="229" t="str">
        <f>+CONCATENATE("De acuerdo con lo anterior, el desarenador existente según las consideraciones hidráulicas teóricas usadas para el presente proyecto, presenta Número de Reynolds igual a ",D126,", el cual NO cumple con las recomendaciones para dicho parámetro de evaluación (Re &lt; 0,50).")</f>
        <v>De acuerdo con lo anterior, el desarenador existente según las consideraciones hidráulicas teóricas usadas para el presente proyecto, presenta Número de Reynolds igual a 6,22, el cual NO cumple con las recomendaciones para dicho parámetro de evaluación (Re &lt; 0,50).</v>
      </c>
      <c r="B128" s="229"/>
      <c r="C128" s="229"/>
      <c r="D128" s="229"/>
      <c r="E128" s="229"/>
      <c r="F128" s="229"/>
      <c r="G128" s="229"/>
      <c r="H128" s="229"/>
      <c r="I128" s="130"/>
      <c r="J128" s="130"/>
      <c r="K128" s="130"/>
      <c r="L128" s="130"/>
      <c r="M128" s="130"/>
      <c r="N128" s="130"/>
      <c r="O128" s="130"/>
      <c r="P128" s="130"/>
      <c r="Q128" s="130"/>
      <c r="R128" s="130"/>
      <c r="S128" s="130"/>
      <c r="T128" s="130"/>
      <c r="U128" s="130"/>
      <c r="V128" s="130"/>
      <c r="W128" s="130"/>
      <c r="X128" s="130"/>
      <c r="Y128" s="130"/>
      <c r="Z128" s="130"/>
      <c r="AA128" s="130"/>
      <c r="AB128" s="130"/>
    </row>
    <row r="129" spans="1:29" s="77" customFormat="1" ht="9.9499999999999993" customHeight="1">
      <c r="B129" s="81"/>
      <c r="C129" s="81"/>
      <c r="D129" s="81"/>
      <c r="E129" s="81"/>
      <c r="F129" s="81"/>
      <c r="G129" s="81"/>
    </row>
    <row r="130" spans="1:29" ht="15" customHeight="1">
      <c r="A130" s="194" t="s">
        <v>285</v>
      </c>
      <c r="B130" s="194"/>
      <c r="C130" s="194"/>
      <c r="D130" s="194"/>
      <c r="E130" s="194"/>
      <c r="F130" s="194"/>
      <c r="G130" s="194"/>
      <c r="H130" s="194"/>
      <c r="P130" s="131"/>
      <c r="V130" s="133"/>
      <c r="W130" s="133"/>
      <c r="X130" s="133"/>
      <c r="Y130" s="133"/>
      <c r="Z130" s="133"/>
      <c r="AA130" s="133"/>
      <c r="AB130" s="133"/>
      <c r="AC130" s="133"/>
    </row>
    <row r="131" spans="1:29" s="77" customFormat="1" ht="9" customHeight="1">
      <c r="B131" s="81"/>
      <c r="C131" s="81"/>
      <c r="D131" s="81"/>
      <c r="E131" s="81"/>
      <c r="F131" s="81"/>
      <c r="G131" s="81"/>
    </row>
    <row r="132" spans="1:29" s="77" customFormat="1" ht="30" customHeight="1">
      <c r="A132" s="187" t="s">
        <v>278</v>
      </c>
      <c r="B132" s="187"/>
      <c r="C132" s="187"/>
      <c r="D132" s="187"/>
      <c r="E132" s="187"/>
      <c r="F132" s="187"/>
      <c r="G132" s="187"/>
      <c r="H132" s="187"/>
    </row>
    <row r="133" spans="1:29" s="77" customFormat="1" ht="9.9499999999999993" customHeight="1">
      <c r="A133" s="86"/>
      <c r="B133" s="81"/>
      <c r="C133" s="81"/>
      <c r="D133" s="81"/>
      <c r="E133" s="81"/>
      <c r="F133" s="81"/>
      <c r="G133" s="81"/>
    </row>
    <row r="134" spans="1:29" s="77" customFormat="1" ht="15" customHeight="1">
      <c r="B134" s="125"/>
      <c r="C134" s="188" t="s">
        <v>213</v>
      </c>
      <c r="D134" s="188"/>
      <c r="E134" s="188"/>
      <c r="F134" s="125"/>
      <c r="G134" s="125"/>
    </row>
    <row r="135" spans="1:29" s="77" customFormat="1" ht="9.9499999999999993" customHeight="1">
      <c r="A135" s="187"/>
      <c r="B135" s="187"/>
      <c r="C135" s="187"/>
      <c r="D135" s="187"/>
      <c r="E135" s="187"/>
      <c r="F135" s="187"/>
      <c r="G135" s="187"/>
    </row>
    <row r="136" spans="1:29" s="77" customFormat="1" ht="15" customHeight="1">
      <c r="A136" s="75" t="s">
        <v>88</v>
      </c>
      <c r="B136" s="81"/>
      <c r="C136" s="81"/>
      <c r="D136" s="81"/>
      <c r="E136" s="81"/>
      <c r="F136" s="81"/>
      <c r="G136" s="81"/>
    </row>
    <row r="137" spans="1:29" s="77" customFormat="1" ht="15" customHeight="1">
      <c r="A137" s="75" t="s">
        <v>202</v>
      </c>
      <c r="B137" s="81"/>
      <c r="C137" s="81"/>
      <c r="D137" s="152">
        <f>+F88</f>
        <v>26</v>
      </c>
      <c r="E137" s="86" t="s">
        <v>129</v>
      </c>
      <c r="F137" s="86"/>
      <c r="G137" s="86"/>
    </row>
    <row r="138" spans="1:29" s="77" customFormat="1" ht="15" customHeight="1">
      <c r="A138" s="75" t="s">
        <v>202</v>
      </c>
      <c r="B138" s="81"/>
      <c r="C138" s="81"/>
      <c r="D138" s="153">
        <f>+D137/1000</f>
        <v>2.5999999999999999E-2</v>
      </c>
      <c r="E138" s="86" t="s">
        <v>203</v>
      </c>
      <c r="F138" s="86"/>
      <c r="G138" s="86"/>
    </row>
    <row r="139" spans="1:29" s="77" customFormat="1" ht="15" customHeight="1">
      <c r="A139" s="75" t="s">
        <v>57</v>
      </c>
      <c r="B139" s="81"/>
      <c r="C139" s="81"/>
      <c r="D139" s="96">
        <f>+D70</f>
        <v>0.8</v>
      </c>
      <c r="E139" s="86" t="s">
        <v>54</v>
      </c>
      <c r="F139" s="86"/>
      <c r="G139" s="86"/>
    </row>
    <row r="140" spans="1:29" s="77" customFormat="1" ht="15" customHeight="1">
      <c r="A140" s="75" t="s">
        <v>286</v>
      </c>
      <c r="B140" s="81"/>
      <c r="C140" s="81"/>
      <c r="D140" s="155">
        <f>+ROUND(((D138/(1.84*D139))^(2/3)),2)</f>
        <v>7.0000000000000007E-2</v>
      </c>
      <c r="E140" s="94" t="s">
        <v>54</v>
      </c>
      <c r="F140" s="86"/>
      <c r="G140" s="86"/>
    </row>
    <row r="141" spans="1:29" s="77" customFormat="1" ht="9.9499999999999993" customHeight="1">
      <c r="A141" s="75"/>
      <c r="B141" s="81"/>
      <c r="C141" s="81"/>
      <c r="D141" s="97"/>
      <c r="E141" s="94"/>
      <c r="F141" s="86"/>
      <c r="G141" s="86"/>
    </row>
    <row r="142" spans="1:29" s="77" customFormat="1" ht="30" customHeight="1">
      <c r="A142" s="187" t="str">
        <f>+CONCATENATE("Lo anterior, indica que para que por el vertedero de salida del desarenador circulen los ",D137,"L/s de capacidad de tratamiento, se requiere una lámina de agua equivalente a ",D140,"m.")</f>
        <v>Lo anterior, indica que para que por el vertedero de salida del desarenador circulen los 26L/s de capacidad de tratamiento, se requiere una lámina de agua equivalente a 0,07m.</v>
      </c>
      <c r="B142" s="187"/>
      <c r="C142" s="187"/>
      <c r="D142" s="187"/>
      <c r="E142" s="187"/>
      <c r="F142" s="187"/>
      <c r="G142" s="187"/>
      <c r="H142" s="187"/>
    </row>
    <row r="143" spans="1:29" s="77" customFormat="1" ht="8.1" customHeight="1">
      <c r="B143" s="81"/>
      <c r="C143" s="81"/>
      <c r="D143" s="81"/>
      <c r="E143" s="81"/>
      <c r="F143" s="81"/>
      <c r="G143" s="81"/>
    </row>
    <row r="144" spans="1:29" ht="15" customHeight="1">
      <c r="A144" s="194" t="s">
        <v>302</v>
      </c>
      <c r="B144" s="194"/>
      <c r="C144" s="194"/>
      <c r="D144" s="194"/>
      <c r="E144" s="194"/>
      <c r="F144" s="194"/>
      <c r="G144" s="194"/>
      <c r="H144" s="194"/>
      <c r="P144" s="131"/>
      <c r="V144" s="133"/>
      <c r="W144" s="133"/>
      <c r="X144" s="133"/>
      <c r="Y144" s="133"/>
      <c r="Z144" s="133"/>
      <c r="AA144" s="133"/>
      <c r="AB144" s="133"/>
      <c r="AC144" s="133"/>
    </row>
    <row r="145" spans="1:8" s="77" customFormat="1" ht="8.1" customHeight="1">
      <c r="B145" s="81"/>
      <c r="C145" s="81"/>
      <c r="D145" s="81"/>
      <c r="E145" s="81"/>
      <c r="F145" s="81"/>
      <c r="G145" s="81"/>
    </row>
    <row r="146" spans="1:8" s="77" customFormat="1" ht="30" customHeight="1">
      <c r="A146" s="187" t="s">
        <v>303</v>
      </c>
      <c r="B146" s="187"/>
      <c r="C146" s="187"/>
      <c r="D146" s="187"/>
      <c r="E146" s="187"/>
      <c r="F146" s="187"/>
      <c r="G146" s="187"/>
      <c r="H146" s="187"/>
    </row>
    <row r="147" spans="1:8" s="77" customFormat="1" ht="8.1" customHeight="1">
      <c r="B147" s="81"/>
      <c r="C147" s="81"/>
      <c r="D147" s="81"/>
      <c r="E147" s="81"/>
      <c r="F147" s="81"/>
      <c r="G147" s="81"/>
    </row>
    <row r="148" spans="1:8" s="77" customFormat="1" ht="15" customHeight="1">
      <c r="A148" s="188" t="s">
        <v>304</v>
      </c>
      <c r="B148" s="188"/>
      <c r="C148" s="188"/>
      <c r="D148" s="188"/>
      <c r="E148" s="188"/>
      <c r="F148" s="188"/>
      <c r="G148" s="188"/>
      <c r="H148" s="188"/>
    </row>
    <row r="149" spans="1:8" s="77" customFormat="1" ht="8.1" customHeight="1">
      <c r="B149" s="81"/>
      <c r="C149" s="81"/>
      <c r="D149" s="81"/>
      <c r="E149" s="81"/>
      <c r="F149" s="81"/>
      <c r="G149" s="81"/>
    </row>
    <row r="150" spans="1:8" s="90" customFormat="1" ht="15" customHeight="1">
      <c r="A150" s="106" t="s">
        <v>305</v>
      </c>
      <c r="D150" s="164">
        <v>1.5</v>
      </c>
      <c r="E150" s="90" t="s">
        <v>289</v>
      </c>
    </row>
    <row r="151" spans="1:8" s="90" customFormat="1" ht="15" customHeight="1">
      <c r="A151" s="106" t="s">
        <v>305</v>
      </c>
      <c r="D151" s="105">
        <f>+D150*0.0254</f>
        <v>3.8099999999999995E-2</v>
      </c>
      <c r="E151" s="90" t="s">
        <v>54</v>
      </c>
    </row>
    <row r="152" spans="1:8" s="90" customFormat="1" ht="15" customHeight="1">
      <c r="A152" s="106" t="s">
        <v>306</v>
      </c>
      <c r="D152" s="161">
        <f>+ROUND((PI()*(D151^2)/4),3)</f>
        <v>1E-3</v>
      </c>
      <c r="E152" s="90" t="s">
        <v>206</v>
      </c>
    </row>
    <row r="153" spans="1:8" s="90" customFormat="1" ht="15" customHeight="1">
      <c r="A153" s="106" t="s">
        <v>298</v>
      </c>
      <c r="D153" s="160">
        <v>45</v>
      </c>
    </row>
    <row r="154" spans="1:8" s="90" customFormat="1" ht="15" customHeight="1">
      <c r="A154" s="106" t="s">
        <v>307</v>
      </c>
      <c r="D154" s="159">
        <f>+F88</f>
        <v>26</v>
      </c>
      <c r="E154" s="90" t="s">
        <v>129</v>
      </c>
    </row>
    <row r="155" spans="1:8" s="90" customFormat="1" ht="15" customHeight="1">
      <c r="A155" s="106" t="s">
        <v>308</v>
      </c>
      <c r="D155" s="159">
        <f>+D154/D153</f>
        <v>0.57777777777777772</v>
      </c>
      <c r="E155" s="90" t="s">
        <v>129</v>
      </c>
    </row>
    <row r="156" spans="1:8" s="90" customFormat="1" ht="15" customHeight="1">
      <c r="A156" s="106" t="s">
        <v>309</v>
      </c>
      <c r="D156" s="155">
        <f>ROUND(((D155/1000)/D152),2)</f>
        <v>0.57999999999999996</v>
      </c>
      <c r="E156" s="101" t="s">
        <v>122</v>
      </c>
    </row>
    <row r="157" spans="1:8" s="90" customFormat="1" ht="15" customHeight="1">
      <c r="A157" s="106" t="s">
        <v>293</v>
      </c>
      <c r="D157" s="105">
        <v>9.81</v>
      </c>
      <c r="E157" s="90" t="s">
        <v>200</v>
      </c>
    </row>
    <row r="158" spans="1:8" s="77" customFormat="1" ht="8.1" customHeight="1">
      <c r="A158" s="75"/>
      <c r="B158" s="81"/>
      <c r="C158" s="81"/>
      <c r="D158" s="97"/>
      <c r="E158" s="94"/>
      <c r="F158" s="86"/>
      <c r="G158" s="86"/>
    </row>
    <row r="159" spans="1:8" s="77" customFormat="1" ht="15" customHeight="1">
      <c r="A159" s="187" t="str">
        <f>+CONCATENATE("Según lo anterior, por los ",D153," orificios de Ø",D150,"pulgadas, se presenta una velocidad de paso de ",D156,"m/s.")</f>
        <v>Según lo anterior, por los 45 orificios de Ø1,5pulgadas, se presenta una velocidad de paso de 0,58m/s.</v>
      </c>
      <c r="B159" s="187"/>
      <c r="C159" s="187"/>
      <c r="D159" s="187"/>
      <c r="E159" s="187"/>
      <c r="F159" s="187"/>
      <c r="G159" s="187"/>
      <c r="H159" s="187"/>
    </row>
    <row r="160" spans="1:8" s="77" customFormat="1" ht="8.1" customHeight="1">
      <c r="B160" s="81"/>
      <c r="C160" s="81"/>
      <c r="D160" s="81"/>
      <c r="E160" s="81"/>
      <c r="F160" s="81"/>
      <c r="G160" s="81"/>
    </row>
    <row r="161" spans="1:29" ht="15" customHeight="1">
      <c r="A161" s="194" t="s">
        <v>301</v>
      </c>
      <c r="B161" s="194"/>
      <c r="C161" s="194"/>
      <c r="D161" s="194"/>
      <c r="E161" s="194"/>
      <c r="F161" s="194"/>
      <c r="G161" s="194"/>
      <c r="H161" s="194"/>
      <c r="P161" s="131"/>
      <c r="V161" s="133"/>
      <c r="W161" s="133"/>
      <c r="X161" s="133"/>
      <c r="Y161" s="133"/>
      <c r="Z161" s="133"/>
      <c r="AA161" s="133"/>
      <c r="AB161" s="133"/>
      <c r="AC161" s="133"/>
    </row>
    <row r="162" spans="1:29" s="77" customFormat="1" ht="8.1" customHeight="1">
      <c r="B162" s="81"/>
      <c r="C162" s="81"/>
      <c r="D162" s="81"/>
      <c r="E162" s="81"/>
      <c r="F162" s="81"/>
      <c r="G162" s="81"/>
    </row>
    <row r="163" spans="1:29" s="77" customFormat="1" ht="75" customHeight="1">
      <c r="A163" s="187" t="s">
        <v>324</v>
      </c>
      <c r="B163" s="187"/>
      <c r="C163" s="187"/>
      <c r="D163" s="187"/>
      <c r="E163" s="187"/>
      <c r="F163" s="187"/>
      <c r="G163" s="187"/>
      <c r="H163" s="187"/>
    </row>
    <row r="164" spans="1:29" s="77" customFormat="1" ht="8.1" customHeight="1">
      <c r="B164" s="81"/>
      <c r="C164" s="81"/>
      <c r="D164" s="81"/>
      <c r="E164" s="81"/>
      <c r="F164" s="81"/>
      <c r="G164" s="81"/>
    </row>
    <row r="165" spans="1:29" s="77" customFormat="1" ht="15" customHeight="1">
      <c r="A165" s="188" t="s">
        <v>300</v>
      </c>
      <c r="B165" s="188"/>
      <c r="C165" s="188"/>
      <c r="D165" s="188"/>
      <c r="E165" s="188"/>
      <c r="F165" s="188"/>
      <c r="G165" s="188"/>
      <c r="H165" s="188"/>
    </row>
    <row r="166" spans="1:29" s="77" customFormat="1" ht="8.1" customHeight="1">
      <c r="B166" s="81"/>
      <c r="C166" s="81"/>
      <c r="D166" s="81"/>
      <c r="E166" s="81"/>
      <c r="F166" s="81"/>
      <c r="G166" s="81"/>
    </row>
    <row r="167" spans="1:29" s="90" customFormat="1" ht="15" customHeight="1">
      <c r="A167" s="106" t="s">
        <v>287</v>
      </c>
      <c r="D167" s="164">
        <f>+D69*D70</f>
        <v>2.2719999999999998</v>
      </c>
      <c r="E167" s="90" t="s">
        <v>206</v>
      </c>
    </row>
    <row r="168" spans="1:29" s="90" customFormat="1" ht="15" customHeight="1">
      <c r="A168" s="106" t="s">
        <v>288</v>
      </c>
      <c r="D168" s="160">
        <v>4</v>
      </c>
      <c r="E168" s="90" t="s">
        <v>289</v>
      </c>
    </row>
    <row r="169" spans="1:29" s="90" customFormat="1" ht="15" customHeight="1">
      <c r="A169" s="106" t="s">
        <v>288</v>
      </c>
      <c r="D169" s="105">
        <f>+D168*0.0254</f>
        <v>0.1016</v>
      </c>
      <c r="E169" s="90" t="s">
        <v>54</v>
      </c>
    </row>
    <row r="170" spans="1:29" s="90" customFormat="1" ht="15" customHeight="1">
      <c r="A170" s="106" t="s">
        <v>290</v>
      </c>
      <c r="D170" s="161">
        <f>+ROUND((PI()*(D169^2)/4),3)</f>
        <v>8.0000000000000002E-3</v>
      </c>
      <c r="E170" s="90" t="s">
        <v>206</v>
      </c>
    </row>
    <row r="171" spans="1:29" s="90" customFormat="1" ht="15" customHeight="1">
      <c r="A171" s="106" t="s">
        <v>298</v>
      </c>
      <c r="D171" s="160">
        <v>1</v>
      </c>
    </row>
    <row r="172" spans="1:29" s="90" customFormat="1" ht="15" customHeight="1">
      <c r="A172" s="106" t="s">
        <v>299</v>
      </c>
      <c r="D172" s="161">
        <f>+D171*D170</f>
        <v>8.0000000000000002E-3</v>
      </c>
      <c r="E172" s="90" t="s">
        <v>206</v>
      </c>
    </row>
    <row r="173" spans="1:29" s="90" customFormat="1" ht="15" customHeight="1">
      <c r="A173" s="106" t="s">
        <v>296</v>
      </c>
      <c r="D173" s="163">
        <f>+D68</f>
        <v>0.88</v>
      </c>
      <c r="E173" s="90" t="s">
        <v>54</v>
      </c>
    </row>
    <row r="174" spans="1:29" s="90" customFormat="1" ht="15" customHeight="1">
      <c r="A174" s="106" t="s">
        <v>291</v>
      </c>
      <c r="D174" s="105">
        <v>0.55000000000000004</v>
      </c>
      <c r="E174" s="90" t="s">
        <v>292</v>
      </c>
    </row>
    <row r="175" spans="1:29" s="90" customFormat="1" ht="15" customHeight="1">
      <c r="A175" s="106" t="s">
        <v>293</v>
      </c>
      <c r="D175" s="105">
        <v>9.81</v>
      </c>
      <c r="E175" s="90" t="s">
        <v>200</v>
      </c>
    </row>
    <row r="176" spans="1:29" s="90" customFormat="1" ht="15" customHeight="1">
      <c r="A176" s="106" t="s">
        <v>295</v>
      </c>
      <c r="D176" s="162">
        <f>+ROUND(((2*D167*(D173^0.5))/(D174*D172*((2*D175)^0.5))/3600),2)</f>
        <v>0.06</v>
      </c>
      <c r="E176" s="101" t="s">
        <v>294</v>
      </c>
    </row>
    <row r="177" spans="1:28" s="90" customFormat="1" ht="15" customHeight="1">
      <c r="A177" s="106" t="s">
        <v>295</v>
      </c>
      <c r="D177" s="157">
        <f>+D176*60</f>
        <v>3.5999999999999996</v>
      </c>
      <c r="E177" s="101" t="s">
        <v>118</v>
      </c>
    </row>
    <row r="178" spans="1:28" s="90" customFormat="1" ht="15" hidden="1" customHeight="1">
      <c r="A178" s="106"/>
      <c r="D178" s="158" t="str">
        <f>+IF(D176&lt;=8,"Cumple Literal B.9.4.10 del RAS/2.000, T &lt; 8 horas","No cumple Literal B.9.4.10 del RAS/2.000, T &lt; 8 horas")</f>
        <v>Cumple Literal B.9.4.10 del RAS/2.000, T &lt; 8 horas</v>
      </c>
    </row>
    <row r="179" spans="1:28" s="77" customFormat="1" ht="8.1" customHeight="1">
      <c r="A179" s="75"/>
      <c r="B179" s="81"/>
      <c r="C179" s="81"/>
      <c r="D179" s="97"/>
      <c r="E179" s="94"/>
      <c r="F179" s="86"/>
      <c r="G179" s="86"/>
    </row>
    <row r="180" spans="1:28" s="77" customFormat="1" ht="30" customHeight="1">
      <c r="A180" s="187" t="str">
        <f>+CONCATENATE("Acorde con lo anterior, el desagüe existente son ",D171," tuberías en PVC de Ø",D168,"pulg., ubicados en el fondo del desarenador, estas tuberías tendrá la capacidad de vaciar completamente la estructura en un tiempo de ",D177," minutos.")</f>
        <v>Acorde con lo anterior, el desagüe existente son 1 tuberías en PVC de Ø4pulg., ubicados en el fondo del desarenador, estas tuberías tendrá la capacidad de vaciar completamente la estructura en un tiempo de 3,6 minutos.</v>
      </c>
      <c r="B180" s="187"/>
      <c r="C180" s="187"/>
      <c r="D180" s="187"/>
      <c r="E180" s="187"/>
      <c r="F180" s="187"/>
      <c r="G180" s="187"/>
      <c r="H180" s="187"/>
    </row>
    <row r="181" spans="1:28" s="77" customFormat="1" ht="8.1" customHeight="1">
      <c r="A181" s="75"/>
      <c r="B181" s="81"/>
      <c r="C181" s="81"/>
      <c r="D181" s="97"/>
      <c r="E181" s="94"/>
      <c r="F181" s="86"/>
      <c r="G181" s="86"/>
    </row>
    <row r="182" spans="1:28" ht="12" customHeight="1">
      <c r="A182" s="189" t="s">
        <v>279</v>
      </c>
      <c r="B182" s="189"/>
      <c r="C182" s="189"/>
      <c r="D182" s="189"/>
      <c r="E182" s="189"/>
      <c r="F182" s="189"/>
      <c r="G182" s="189"/>
      <c r="H182" s="187"/>
    </row>
    <row r="183" spans="1:28" ht="12" customHeight="1">
      <c r="A183" s="189" t="s">
        <v>280</v>
      </c>
      <c r="B183" s="189"/>
      <c r="C183" s="189"/>
      <c r="D183" s="189"/>
      <c r="E183" s="189"/>
      <c r="F183" s="189"/>
      <c r="G183" s="189"/>
      <c r="H183" s="187"/>
    </row>
    <row r="184" spans="1:28" ht="12" customHeight="1">
      <c r="A184" s="189" t="s">
        <v>281</v>
      </c>
      <c r="B184" s="189"/>
      <c r="C184" s="189"/>
      <c r="D184" s="189"/>
      <c r="E184" s="189"/>
      <c r="F184" s="189"/>
      <c r="G184" s="189"/>
      <c r="H184" s="187"/>
    </row>
    <row r="185" spans="1:28" ht="17.25">
      <c r="A185" s="154"/>
      <c r="B185" s="130"/>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c r="AA185" s="130"/>
      <c r="AB185" s="130"/>
    </row>
    <row r="186" spans="1:28" ht="17.25">
      <c r="A186" s="130"/>
      <c r="B186" s="130"/>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c r="AA186" s="130"/>
      <c r="AB186" s="130"/>
    </row>
    <row r="187" spans="1:28" ht="17.25">
      <c r="A187" s="130"/>
      <c r="B187" s="130"/>
      <c r="C187" s="130"/>
      <c r="D187" s="130"/>
      <c r="E187" s="130"/>
      <c r="F187" s="130"/>
      <c r="G187" s="130"/>
      <c r="H187" s="130"/>
      <c r="I187" s="130"/>
      <c r="J187" s="130"/>
      <c r="K187" s="130"/>
      <c r="L187" s="130"/>
      <c r="M187" s="130"/>
      <c r="N187" s="130"/>
      <c r="O187" s="130"/>
      <c r="P187" s="130"/>
      <c r="Q187" s="130"/>
      <c r="R187" s="130"/>
      <c r="S187" s="130"/>
      <c r="T187" s="130"/>
      <c r="U187" s="130"/>
      <c r="V187" s="130"/>
      <c r="W187" s="130"/>
      <c r="X187" s="130"/>
      <c r="Y187" s="130"/>
      <c r="Z187" s="130"/>
      <c r="AA187" s="130"/>
      <c r="AB187" s="130"/>
    </row>
    <row r="188" spans="1:28" ht="17.25">
      <c r="A188" s="130"/>
      <c r="B188" s="130"/>
      <c r="C188" s="130"/>
      <c r="D188" s="130"/>
      <c r="E188" s="130"/>
      <c r="F188" s="130"/>
      <c r="G188" s="130"/>
      <c r="H188" s="130"/>
      <c r="I188" s="130"/>
      <c r="J188" s="130"/>
      <c r="K188" s="130"/>
      <c r="L188" s="130"/>
      <c r="M188" s="130"/>
      <c r="N188" s="130"/>
      <c r="O188" s="130"/>
      <c r="P188" s="130"/>
      <c r="Q188" s="130"/>
      <c r="R188" s="130"/>
      <c r="S188" s="130"/>
      <c r="T188" s="130"/>
      <c r="U188" s="130"/>
      <c r="V188" s="130"/>
      <c r="W188" s="130"/>
      <c r="X188" s="130"/>
      <c r="Y188" s="130"/>
      <c r="Z188" s="130"/>
      <c r="AA188" s="130"/>
      <c r="AB188" s="130"/>
    </row>
    <row r="189" spans="1:28" ht="17.25">
      <c r="A189" s="130"/>
      <c r="B189" s="130"/>
      <c r="C189" s="130"/>
      <c r="D189" s="130"/>
      <c r="E189" s="130"/>
      <c r="F189" s="130"/>
      <c r="G189" s="130"/>
      <c r="H189" s="130"/>
      <c r="I189" s="130"/>
      <c r="J189" s="130"/>
      <c r="K189" s="130"/>
      <c r="L189" s="130"/>
      <c r="M189" s="130"/>
      <c r="N189" s="130"/>
      <c r="O189" s="130"/>
      <c r="P189" s="130"/>
      <c r="Q189" s="130"/>
      <c r="R189" s="130"/>
      <c r="S189" s="130"/>
      <c r="T189" s="130"/>
      <c r="U189" s="130"/>
      <c r="V189" s="130"/>
      <c r="W189" s="130"/>
      <c r="X189" s="130"/>
      <c r="Y189" s="130"/>
      <c r="Z189" s="130"/>
      <c r="AA189" s="130"/>
      <c r="AB189" s="130"/>
    </row>
    <row r="190" spans="1:28" ht="17.25">
      <c r="A190" s="130"/>
      <c r="B190" s="130"/>
      <c r="C190" s="130"/>
      <c r="D190" s="130"/>
      <c r="E190" s="130"/>
      <c r="F190" s="130"/>
      <c r="G190" s="130"/>
      <c r="H190" s="130"/>
      <c r="I190" s="130"/>
      <c r="J190" s="130"/>
      <c r="K190" s="130"/>
      <c r="L190" s="130"/>
      <c r="M190" s="130"/>
      <c r="N190" s="130"/>
      <c r="O190" s="130"/>
      <c r="P190" s="130"/>
      <c r="Q190" s="130"/>
      <c r="R190" s="130"/>
      <c r="S190" s="130"/>
      <c r="T190" s="130"/>
      <c r="U190" s="130"/>
      <c r="V190" s="130"/>
      <c r="W190" s="130"/>
      <c r="X190" s="130"/>
      <c r="Y190" s="130"/>
      <c r="Z190" s="130"/>
      <c r="AA190" s="130"/>
      <c r="AB190" s="130"/>
    </row>
    <row r="191" spans="1:28" ht="17.25">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c r="W191" s="130"/>
      <c r="X191" s="130"/>
      <c r="Y191" s="130"/>
      <c r="Z191" s="130"/>
      <c r="AA191" s="130"/>
      <c r="AB191" s="130"/>
    </row>
    <row r="192" spans="1:28" ht="17.25">
      <c r="A192" s="130"/>
      <c r="B192" s="130"/>
      <c r="C192" s="130"/>
      <c r="D192" s="130"/>
      <c r="E192" s="130"/>
      <c r="F192" s="130"/>
      <c r="G192" s="130"/>
      <c r="H192" s="130"/>
      <c r="I192" s="130"/>
      <c r="J192" s="130"/>
      <c r="K192" s="130"/>
      <c r="L192" s="130"/>
      <c r="M192" s="130"/>
      <c r="N192" s="130"/>
      <c r="O192" s="130"/>
      <c r="P192" s="130"/>
      <c r="Q192" s="130"/>
      <c r="R192" s="130"/>
      <c r="S192" s="130"/>
      <c r="T192" s="130"/>
      <c r="U192" s="130"/>
      <c r="V192" s="130"/>
      <c r="W192" s="130"/>
      <c r="X192" s="130"/>
      <c r="Y192" s="130"/>
      <c r="Z192" s="130"/>
      <c r="AA192" s="130"/>
      <c r="AB192" s="130"/>
    </row>
    <row r="193" spans="1:28" ht="17.25">
      <c r="A193" s="130"/>
      <c r="B193" s="130"/>
      <c r="C193" s="130"/>
      <c r="D193" s="130"/>
      <c r="E193" s="130"/>
      <c r="F193" s="130"/>
      <c r="G193" s="130"/>
      <c r="H193" s="130"/>
      <c r="I193" s="130"/>
      <c r="J193" s="130"/>
      <c r="K193" s="130"/>
      <c r="L193" s="130"/>
      <c r="M193" s="130"/>
      <c r="N193" s="130"/>
      <c r="O193" s="130"/>
      <c r="P193" s="130"/>
      <c r="Q193" s="130"/>
      <c r="R193" s="130"/>
      <c r="S193" s="130"/>
      <c r="T193" s="130"/>
      <c r="U193" s="130"/>
      <c r="V193" s="130"/>
      <c r="W193" s="130"/>
      <c r="X193" s="130"/>
      <c r="Y193" s="130"/>
      <c r="Z193" s="130"/>
      <c r="AA193" s="130"/>
      <c r="AB193" s="130"/>
    </row>
    <row r="194" spans="1:28" ht="17.25">
      <c r="A194" s="130"/>
      <c r="B194" s="130"/>
      <c r="C194" s="130"/>
      <c r="D194" s="130"/>
      <c r="E194" s="130"/>
      <c r="F194" s="130"/>
      <c r="G194" s="130"/>
      <c r="H194" s="130"/>
      <c r="I194" s="130"/>
      <c r="J194" s="130"/>
      <c r="K194" s="130"/>
      <c r="L194" s="130"/>
      <c r="M194" s="130"/>
      <c r="N194" s="130"/>
      <c r="O194" s="130"/>
      <c r="P194" s="130"/>
      <c r="Q194" s="130"/>
      <c r="R194" s="130"/>
      <c r="S194" s="130"/>
      <c r="T194" s="130"/>
      <c r="U194" s="130"/>
      <c r="V194" s="130"/>
      <c r="W194" s="130"/>
      <c r="X194" s="130"/>
      <c r="Y194" s="130"/>
      <c r="Z194" s="130"/>
      <c r="AA194" s="130"/>
      <c r="AB194" s="130"/>
    </row>
    <row r="195" spans="1:28" ht="17.25">
      <c r="A195" s="130"/>
      <c r="B195" s="130"/>
      <c r="C195" s="130"/>
      <c r="D195" s="130"/>
      <c r="E195" s="130"/>
      <c r="F195" s="130"/>
      <c r="G195" s="130"/>
      <c r="H195" s="130"/>
      <c r="I195" s="130"/>
      <c r="J195" s="130"/>
      <c r="K195" s="130"/>
      <c r="L195" s="130"/>
      <c r="M195" s="130"/>
      <c r="N195" s="130"/>
      <c r="O195" s="130"/>
      <c r="P195" s="130"/>
      <c r="Q195" s="130"/>
      <c r="R195" s="130"/>
      <c r="S195" s="130"/>
      <c r="T195" s="130"/>
      <c r="U195" s="130"/>
      <c r="V195" s="130"/>
      <c r="W195" s="130"/>
      <c r="X195" s="130"/>
      <c r="Y195" s="130"/>
      <c r="Z195" s="130"/>
      <c r="AA195" s="130"/>
      <c r="AB195" s="130"/>
    </row>
    <row r="196" spans="1:28" ht="17.25">
      <c r="A196" s="130"/>
      <c r="B196" s="130"/>
      <c r="C196" s="130"/>
      <c r="D196" s="130"/>
      <c r="E196" s="130"/>
      <c r="F196" s="130"/>
      <c r="G196" s="130"/>
      <c r="H196" s="130"/>
      <c r="I196" s="130"/>
      <c r="J196" s="130"/>
      <c r="K196" s="130"/>
      <c r="L196" s="130"/>
      <c r="M196" s="130"/>
      <c r="N196" s="130"/>
      <c r="O196" s="130"/>
      <c r="P196" s="130"/>
      <c r="Q196" s="130"/>
      <c r="R196" s="130"/>
      <c r="S196" s="130"/>
      <c r="T196" s="130"/>
      <c r="U196" s="130"/>
      <c r="V196" s="130"/>
      <c r="W196" s="130"/>
      <c r="X196" s="130"/>
      <c r="Y196" s="130"/>
      <c r="Z196" s="130"/>
      <c r="AA196" s="130"/>
      <c r="AB196" s="130"/>
    </row>
    <row r="197" spans="1:28" ht="17.25">
      <c r="A197" s="130"/>
      <c r="B197" s="130"/>
      <c r="C197" s="130"/>
      <c r="D197" s="130"/>
      <c r="E197" s="130"/>
      <c r="F197" s="130"/>
      <c r="G197" s="130"/>
      <c r="H197" s="130"/>
      <c r="I197" s="130"/>
      <c r="J197" s="130"/>
      <c r="K197" s="130"/>
      <c r="L197" s="130"/>
      <c r="M197" s="130"/>
      <c r="N197" s="130"/>
      <c r="O197" s="130"/>
      <c r="P197" s="130"/>
      <c r="Q197" s="130"/>
      <c r="R197" s="130"/>
      <c r="S197" s="130"/>
      <c r="T197" s="130"/>
      <c r="U197" s="130"/>
      <c r="V197" s="130"/>
      <c r="W197" s="130"/>
      <c r="X197" s="130"/>
      <c r="Y197" s="130"/>
      <c r="Z197" s="130"/>
      <c r="AA197" s="130"/>
      <c r="AB197" s="130"/>
    </row>
    <row r="198" spans="1:28" ht="17.25">
      <c r="A198" s="130"/>
      <c r="B198" s="130"/>
      <c r="C198" s="130"/>
      <c r="D198" s="130"/>
      <c r="E198" s="130"/>
      <c r="F198" s="130"/>
      <c r="G198" s="130"/>
      <c r="H198" s="130"/>
      <c r="I198" s="130"/>
      <c r="J198" s="130"/>
      <c r="K198" s="130"/>
      <c r="L198" s="130"/>
      <c r="M198" s="130"/>
      <c r="N198" s="130"/>
      <c r="O198" s="130"/>
      <c r="P198" s="130"/>
      <c r="Q198" s="130"/>
      <c r="R198" s="130"/>
      <c r="S198" s="130"/>
      <c r="T198" s="130"/>
      <c r="U198" s="130"/>
      <c r="V198" s="130"/>
      <c r="W198" s="130"/>
      <c r="X198" s="130"/>
      <c r="Y198" s="130"/>
      <c r="Z198" s="130"/>
      <c r="AA198" s="130"/>
      <c r="AB198" s="130"/>
    </row>
    <row r="199" spans="1:28" ht="17.25">
      <c r="A199" s="130"/>
      <c r="B199" s="130"/>
      <c r="C199" s="130"/>
      <c r="D199" s="130"/>
      <c r="E199" s="130"/>
      <c r="F199" s="130"/>
      <c r="G199" s="130"/>
      <c r="H199" s="130"/>
      <c r="I199" s="130"/>
      <c r="J199" s="130"/>
      <c r="K199" s="130"/>
      <c r="L199" s="130"/>
      <c r="M199" s="130"/>
      <c r="N199" s="130"/>
      <c r="O199" s="130"/>
      <c r="P199" s="130"/>
      <c r="Q199" s="130"/>
      <c r="R199" s="130"/>
      <c r="S199" s="130"/>
      <c r="T199" s="130"/>
      <c r="U199" s="130"/>
      <c r="V199" s="130"/>
      <c r="W199" s="130"/>
      <c r="X199" s="130"/>
      <c r="Y199" s="130"/>
      <c r="Z199" s="130"/>
      <c r="AA199" s="130"/>
      <c r="AB199" s="130"/>
    </row>
    <row r="200" spans="1:28" ht="17.25">
      <c r="A200" s="130"/>
      <c r="B200" s="130"/>
      <c r="C200" s="130"/>
      <c r="D200" s="130"/>
      <c r="E200" s="130"/>
      <c r="F200" s="130"/>
      <c r="G200" s="130"/>
      <c r="H200" s="130"/>
      <c r="I200" s="130"/>
      <c r="J200" s="130"/>
      <c r="K200" s="130"/>
      <c r="L200" s="130"/>
      <c r="M200" s="130"/>
      <c r="N200" s="130"/>
      <c r="O200" s="130"/>
      <c r="P200" s="130"/>
      <c r="Q200" s="130"/>
      <c r="R200" s="130"/>
      <c r="S200" s="130"/>
      <c r="T200" s="130"/>
      <c r="U200" s="130"/>
      <c r="V200" s="130"/>
      <c r="W200" s="130"/>
      <c r="X200" s="130"/>
      <c r="Y200" s="130"/>
      <c r="Z200" s="130"/>
      <c r="AA200" s="130"/>
      <c r="AB200" s="130"/>
    </row>
    <row r="201" spans="1:28" ht="17.25">
      <c r="A201" s="130"/>
      <c r="B201" s="130"/>
      <c r="C201" s="130"/>
      <c r="D201" s="130"/>
      <c r="E201" s="130"/>
      <c r="F201" s="130"/>
      <c r="G201" s="130"/>
      <c r="H201" s="130"/>
      <c r="I201" s="130"/>
      <c r="J201" s="130"/>
      <c r="K201" s="130"/>
      <c r="L201" s="130"/>
      <c r="M201" s="130"/>
      <c r="N201" s="130"/>
      <c r="O201" s="130"/>
      <c r="P201" s="130"/>
      <c r="Q201" s="130"/>
      <c r="R201" s="130"/>
      <c r="S201" s="130"/>
      <c r="T201" s="130"/>
      <c r="U201" s="130"/>
      <c r="V201" s="130"/>
      <c r="W201" s="130"/>
      <c r="X201" s="130"/>
      <c r="Y201" s="130"/>
      <c r="Z201" s="130"/>
      <c r="AA201" s="130"/>
      <c r="AB201" s="130"/>
    </row>
    <row r="202" spans="1:28" ht="17.25">
      <c r="A202" s="130"/>
      <c r="B202" s="130"/>
      <c r="C202" s="130"/>
      <c r="D202" s="130"/>
      <c r="E202" s="130"/>
      <c r="F202" s="130"/>
      <c r="G202" s="130"/>
      <c r="H202" s="130"/>
      <c r="I202" s="130"/>
      <c r="J202" s="130"/>
      <c r="K202" s="130"/>
      <c r="L202" s="130"/>
      <c r="M202" s="130"/>
      <c r="N202" s="130"/>
      <c r="O202" s="130"/>
      <c r="P202" s="130"/>
      <c r="Q202" s="130"/>
      <c r="R202" s="130"/>
      <c r="S202" s="130"/>
      <c r="T202" s="130"/>
      <c r="U202" s="130"/>
      <c r="V202" s="130"/>
      <c r="W202" s="130"/>
      <c r="X202" s="130"/>
      <c r="Y202" s="130"/>
      <c r="Z202" s="130"/>
      <c r="AA202" s="130"/>
      <c r="AB202" s="130"/>
    </row>
    <row r="203" spans="1:28" ht="17.25">
      <c r="A203" s="130"/>
      <c r="B203" s="130"/>
      <c r="C203" s="130"/>
      <c r="D203" s="130"/>
      <c r="E203" s="130"/>
      <c r="F203" s="130"/>
      <c r="G203" s="130"/>
      <c r="H203" s="130"/>
      <c r="I203" s="130"/>
      <c r="J203" s="130"/>
      <c r="K203" s="130"/>
      <c r="L203" s="130"/>
      <c r="M203" s="130"/>
      <c r="N203" s="130"/>
      <c r="O203" s="130"/>
      <c r="P203" s="130"/>
      <c r="Q203" s="130"/>
      <c r="R203" s="130"/>
      <c r="S203" s="130"/>
      <c r="T203" s="130"/>
      <c r="U203" s="130"/>
      <c r="V203" s="130"/>
      <c r="W203" s="130"/>
      <c r="X203" s="130"/>
      <c r="Y203" s="130"/>
      <c r="Z203" s="130"/>
      <c r="AA203" s="130"/>
      <c r="AB203" s="130"/>
    </row>
    <row r="204" spans="1:28" ht="17.25">
      <c r="A204" s="130"/>
      <c r="B204" s="130"/>
      <c r="C204" s="130"/>
      <c r="D204" s="130"/>
      <c r="E204" s="130"/>
      <c r="F204" s="130"/>
      <c r="G204" s="130"/>
      <c r="H204" s="130"/>
      <c r="I204" s="130"/>
      <c r="J204" s="130"/>
      <c r="K204" s="130"/>
      <c r="L204" s="130"/>
      <c r="M204" s="130"/>
      <c r="N204" s="130"/>
      <c r="O204" s="130"/>
      <c r="P204" s="130"/>
      <c r="Q204" s="130"/>
      <c r="R204" s="130"/>
      <c r="S204" s="130"/>
      <c r="T204" s="130"/>
      <c r="U204" s="130"/>
      <c r="V204" s="130"/>
      <c r="W204" s="130"/>
      <c r="X204" s="130"/>
      <c r="Y204" s="130"/>
      <c r="Z204" s="130"/>
      <c r="AA204" s="130"/>
      <c r="AB204" s="130"/>
    </row>
    <row r="205" spans="1:28" ht="17.25">
      <c r="A205" s="130"/>
      <c r="B205" s="130"/>
      <c r="C205" s="130"/>
      <c r="D205" s="130"/>
      <c r="E205" s="130"/>
      <c r="F205" s="130"/>
      <c r="G205" s="130"/>
      <c r="H205" s="130"/>
      <c r="I205" s="130"/>
      <c r="J205" s="130"/>
      <c r="K205" s="130"/>
      <c r="L205" s="130"/>
      <c r="M205" s="130"/>
      <c r="N205" s="130"/>
      <c r="O205" s="130"/>
      <c r="P205" s="130"/>
      <c r="Q205" s="130"/>
      <c r="R205" s="130"/>
      <c r="S205" s="130"/>
      <c r="T205" s="130"/>
      <c r="U205" s="130"/>
      <c r="V205" s="130"/>
      <c r="W205" s="130"/>
      <c r="X205" s="130"/>
      <c r="Y205" s="130"/>
      <c r="Z205" s="130"/>
      <c r="AA205" s="130"/>
      <c r="AB205" s="130"/>
    </row>
    <row r="206" spans="1:28" ht="17.25">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c r="W206" s="130"/>
      <c r="X206" s="130"/>
      <c r="Y206" s="130"/>
      <c r="Z206" s="130"/>
      <c r="AA206" s="130"/>
      <c r="AB206" s="130"/>
    </row>
    <row r="207" spans="1:28" ht="17.25">
      <c r="A207" s="130"/>
      <c r="B207" s="130"/>
      <c r="C207" s="130"/>
      <c r="D207" s="130"/>
      <c r="E207" s="130"/>
      <c r="F207" s="130"/>
      <c r="G207" s="130"/>
      <c r="H207" s="130"/>
      <c r="I207" s="130"/>
      <c r="J207" s="130"/>
      <c r="K207" s="130"/>
      <c r="L207" s="130"/>
      <c r="M207" s="130"/>
      <c r="N207" s="130"/>
      <c r="O207" s="130"/>
      <c r="P207" s="130"/>
      <c r="Q207" s="130"/>
      <c r="R207" s="130"/>
      <c r="S207" s="130"/>
      <c r="T207" s="130"/>
      <c r="U207" s="130"/>
      <c r="V207" s="130"/>
      <c r="W207" s="130"/>
      <c r="X207" s="130"/>
      <c r="Y207" s="130"/>
      <c r="Z207" s="130"/>
      <c r="AA207" s="130"/>
      <c r="AB207" s="130"/>
    </row>
    <row r="208" spans="1:28" ht="17.25">
      <c r="A208" s="130"/>
      <c r="B208" s="130"/>
      <c r="C208" s="130"/>
      <c r="D208" s="130"/>
      <c r="E208" s="130"/>
      <c r="F208" s="130"/>
      <c r="G208" s="130"/>
      <c r="H208" s="130"/>
      <c r="I208" s="130"/>
      <c r="J208" s="130"/>
      <c r="K208" s="130"/>
      <c r="L208" s="130"/>
      <c r="M208" s="130"/>
      <c r="N208" s="130"/>
      <c r="O208" s="130"/>
      <c r="P208" s="130"/>
      <c r="Q208" s="130"/>
      <c r="R208" s="130"/>
      <c r="S208" s="130"/>
      <c r="T208" s="130"/>
      <c r="U208" s="130"/>
      <c r="V208" s="130"/>
      <c r="W208" s="130"/>
      <c r="X208" s="130"/>
      <c r="Y208" s="130"/>
      <c r="Z208" s="130"/>
      <c r="AA208" s="130"/>
      <c r="AB208" s="130"/>
    </row>
    <row r="209" spans="1:28" ht="17.25">
      <c r="A209" s="130"/>
      <c r="B209" s="130"/>
      <c r="C209" s="130"/>
      <c r="D209" s="130"/>
      <c r="E209" s="130"/>
      <c r="F209" s="130"/>
      <c r="G209" s="130"/>
      <c r="H209" s="130"/>
      <c r="I209" s="130"/>
      <c r="J209" s="130"/>
      <c r="K209" s="130"/>
      <c r="L209" s="130"/>
      <c r="M209" s="130"/>
      <c r="N209" s="130"/>
      <c r="O209" s="130"/>
      <c r="P209" s="130"/>
      <c r="Q209" s="130"/>
      <c r="R209" s="130"/>
      <c r="S209" s="130"/>
      <c r="T209" s="130"/>
      <c r="U209" s="130"/>
      <c r="V209" s="130"/>
      <c r="W209" s="130"/>
      <c r="X209" s="130"/>
      <c r="Y209" s="130"/>
      <c r="Z209" s="130"/>
      <c r="AA209" s="130"/>
      <c r="AB209" s="130"/>
    </row>
    <row r="210" spans="1:28" ht="17.25">
      <c r="A210" s="130"/>
      <c r="B210" s="130"/>
      <c r="C210" s="130"/>
      <c r="D210" s="130"/>
      <c r="E210" s="130"/>
      <c r="F210" s="130"/>
      <c r="G210" s="130"/>
      <c r="H210" s="130"/>
      <c r="I210" s="130"/>
      <c r="J210" s="130"/>
      <c r="K210" s="130"/>
      <c r="L210" s="130"/>
      <c r="M210" s="130"/>
      <c r="N210" s="130"/>
      <c r="O210" s="130"/>
      <c r="P210" s="130"/>
      <c r="Q210" s="130"/>
      <c r="R210" s="130"/>
      <c r="S210" s="130"/>
      <c r="T210" s="130"/>
      <c r="U210" s="130"/>
      <c r="V210" s="130"/>
      <c r="W210" s="130"/>
      <c r="X210" s="130"/>
      <c r="Y210" s="130"/>
      <c r="Z210" s="130"/>
      <c r="AA210" s="130"/>
      <c r="AB210" s="130"/>
    </row>
    <row r="211" spans="1:28" ht="17.25">
      <c r="A211" s="130"/>
      <c r="B211" s="130"/>
      <c r="C211" s="130"/>
      <c r="D211" s="130"/>
      <c r="E211" s="130"/>
      <c r="F211" s="130"/>
      <c r="G211" s="130"/>
      <c r="H211" s="130"/>
      <c r="I211" s="130"/>
      <c r="J211" s="130"/>
      <c r="K211" s="130"/>
      <c r="L211" s="130"/>
      <c r="M211" s="130"/>
      <c r="N211" s="130"/>
      <c r="O211" s="130"/>
      <c r="P211" s="130"/>
      <c r="Q211" s="130"/>
      <c r="R211" s="130"/>
      <c r="S211" s="130"/>
      <c r="T211" s="130"/>
      <c r="U211" s="130"/>
      <c r="V211" s="130"/>
      <c r="W211" s="130"/>
      <c r="X211" s="130"/>
      <c r="Y211" s="130"/>
      <c r="Z211" s="130"/>
      <c r="AA211" s="130"/>
      <c r="AB211" s="130"/>
    </row>
    <row r="212" spans="1:28" ht="17.25">
      <c r="A212" s="130"/>
      <c r="B212" s="130"/>
      <c r="C212" s="130"/>
      <c r="D212" s="130"/>
      <c r="E212" s="130"/>
      <c r="F212" s="130"/>
      <c r="G212" s="130"/>
      <c r="H212" s="130"/>
      <c r="I212" s="130"/>
      <c r="J212" s="130"/>
      <c r="K212" s="130"/>
      <c r="L212" s="130"/>
      <c r="M212" s="130"/>
      <c r="N212" s="130"/>
      <c r="O212" s="130"/>
      <c r="P212" s="130"/>
      <c r="Q212" s="130"/>
      <c r="R212" s="130"/>
      <c r="S212" s="130"/>
      <c r="T212" s="130"/>
      <c r="U212" s="130"/>
      <c r="V212" s="130"/>
      <c r="W212" s="130"/>
      <c r="X212" s="130"/>
      <c r="Y212" s="130"/>
      <c r="Z212" s="130"/>
      <c r="AA212" s="130"/>
      <c r="AB212" s="130"/>
    </row>
    <row r="213" spans="1:28" ht="17.25">
      <c r="A213" s="130"/>
      <c r="B213" s="130"/>
      <c r="C213" s="130"/>
      <c r="D213" s="130"/>
      <c r="E213" s="130"/>
      <c r="F213" s="130"/>
      <c r="G213" s="130"/>
      <c r="H213" s="130"/>
      <c r="I213" s="130"/>
      <c r="J213" s="130"/>
      <c r="K213" s="130"/>
      <c r="L213" s="130"/>
      <c r="M213" s="130"/>
      <c r="N213" s="130"/>
      <c r="O213" s="130"/>
      <c r="P213" s="130"/>
      <c r="Q213" s="130"/>
      <c r="R213" s="130"/>
      <c r="S213" s="130"/>
      <c r="T213" s="130"/>
      <c r="U213" s="130"/>
      <c r="V213" s="130"/>
      <c r="W213" s="130"/>
      <c r="X213" s="130"/>
      <c r="Y213" s="130"/>
      <c r="Z213" s="130"/>
      <c r="AA213" s="130"/>
      <c r="AB213" s="130"/>
    </row>
    <row r="214" spans="1:28" ht="17.25">
      <c r="A214" s="130"/>
      <c r="B214" s="130"/>
      <c r="C214" s="130"/>
      <c r="D214" s="130"/>
      <c r="E214" s="130"/>
      <c r="F214" s="130"/>
      <c r="G214" s="130"/>
      <c r="H214" s="130"/>
      <c r="I214" s="130"/>
      <c r="J214" s="130"/>
      <c r="K214" s="130"/>
      <c r="L214" s="130"/>
      <c r="M214" s="130"/>
      <c r="N214" s="130"/>
      <c r="O214" s="130"/>
      <c r="P214" s="130"/>
      <c r="Q214" s="130"/>
      <c r="R214" s="130"/>
      <c r="S214" s="130"/>
      <c r="T214" s="130"/>
      <c r="U214" s="130"/>
      <c r="V214" s="130"/>
      <c r="W214" s="130"/>
      <c r="X214" s="130"/>
      <c r="Y214" s="130"/>
      <c r="Z214" s="130"/>
      <c r="AA214" s="130"/>
      <c r="AB214" s="130"/>
    </row>
    <row r="215" spans="1:28" ht="17.25">
      <c r="A215" s="130"/>
      <c r="B215" s="130"/>
      <c r="C215" s="130"/>
      <c r="D215" s="130"/>
      <c r="E215" s="130"/>
      <c r="F215" s="130"/>
      <c r="G215" s="130"/>
      <c r="H215" s="130"/>
      <c r="I215" s="130"/>
      <c r="J215" s="130"/>
      <c r="K215" s="130"/>
      <c r="L215" s="130"/>
      <c r="M215" s="130"/>
      <c r="N215" s="130"/>
      <c r="O215" s="130"/>
      <c r="P215" s="130"/>
      <c r="Q215" s="130"/>
      <c r="R215" s="130"/>
      <c r="S215" s="130"/>
      <c r="T215" s="130"/>
      <c r="U215" s="130"/>
      <c r="V215" s="130"/>
      <c r="W215" s="130"/>
      <c r="X215" s="130"/>
      <c r="Y215" s="130"/>
      <c r="Z215" s="130"/>
      <c r="AA215" s="130"/>
      <c r="AB215" s="130"/>
    </row>
    <row r="216" spans="1:28" ht="17.25">
      <c r="A216" s="130"/>
      <c r="B216" s="130"/>
      <c r="C216" s="130"/>
      <c r="D216" s="130"/>
      <c r="E216" s="130"/>
      <c r="F216" s="130"/>
      <c r="G216" s="130"/>
      <c r="H216" s="130"/>
      <c r="I216" s="130"/>
      <c r="J216" s="130"/>
      <c r="K216" s="130"/>
      <c r="L216" s="130"/>
      <c r="M216" s="130"/>
      <c r="N216" s="130"/>
      <c r="O216" s="130"/>
      <c r="P216" s="130"/>
      <c r="Q216" s="130"/>
      <c r="R216" s="130"/>
      <c r="S216" s="130"/>
      <c r="T216" s="130"/>
      <c r="U216" s="130"/>
      <c r="V216" s="130"/>
      <c r="W216" s="130"/>
      <c r="X216" s="130"/>
      <c r="Y216" s="130"/>
      <c r="Z216" s="130"/>
      <c r="AA216" s="130"/>
      <c r="AB216" s="130"/>
    </row>
    <row r="217" spans="1:28" ht="17.25">
      <c r="A217" s="130"/>
      <c r="B217" s="130"/>
      <c r="C217" s="130"/>
      <c r="D217" s="130"/>
      <c r="E217" s="130"/>
      <c r="F217" s="130"/>
      <c r="G217" s="130"/>
      <c r="H217" s="130"/>
      <c r="I217" s="130"/>
      <c r="J217" s="130"/>
      <c r="K217" s="130"/>
      <c r="L217" s="130"/>
      <c r="M217" s="130"/>
      <c r="N217" s="130"/>
      <c r="O217" s="130"/>
      <c r="P217" s="130"/>
      <c r="Q217" s="130"/>
      <c r="R217" s="130"/>
      <c r="S217" s="130"/>
      <c r="T217" s="130"/>
      <c r="U217" s="130"/>
      <c r="V217" s="130"/>
      <c r="W217" s="130"/>
      <c r="X217" s="130"/>
      <c r="Y217" s="130"/>
      <c r="Z217" s="130"/>
      <c r="AA217" s="130"/>
      <c r="AB217" s="130"/>
    </row>
    <row r="218" spans="1:28" ht="17.25">
      <c r="A218" s="130"/>
      <c r="B218" s="130"/>
      <c r="C218" s="130"/>
      <c r="D218" s="130"/>
      <c r="E218" s="130"/>
      <c r="F218" s="130"/>
      <c r="G218" s="130"/>
      <c r="H218" s="130"/>
      <c r="I218" s="130"/>
      <c r="J218" s="130"/>
      <c r="K218" s="130"/>
      <c r="L218" s="130"/>
      <c r="M218" s="130"/>
      <c r="N218" s="130"/>
      <c r="O218" s="130"/>
      <c r="P218" s="130"/>
      <c r="Q218" s="130"/>
      <c r="R218" s="130"/>
      <c r="S218" s="130"/>
      <c r="T218" s="130"/>
      <c r="U218" s="130"/>
      <c r="V218" s="130"/>
      <c r="W218" s="130"/>
      <c r="X218" s="130"/>
      <c r="Y218" s="130"/>
      <c r="Z218" s="130"/>
      <c r="AA218" s="130"/>
      <c r="AB218" s="130"/>
    </row>
    <row r="219" spans="1:28" ht="17.25">
      <c r="A219" s="130"/>
      <c r="B219" s="130"/>
      <c r="C219" s="130"/>
      <c r="D219" s="130"/>
      <c r="E219" s="130"/>
      <c r="F219" s="130"/>
      <c r="G219" s="130"/>
      <c r="H219" s="130"/>
      <c r="I219" s="130"/>
      <c r="J219" s="130"/>
      <c r="K219" s="130"/>
      <c r="L219" s="130"/>
      <c r="M219" s="130"/>
      <c r="N219" s="130"/>
      <c r="O219" s="130"/>
      <c r="P219" s="130"/>
      <c r="Q219" s="130"/>
      <c r="R219" s="130"/>
      <c r="S219" s="130"/>
      <c r="T219" s="130"/>
      <c r="U219" s="130"/>
      <c r="V219" s="130"/>
      <c r="W219" s="130"/>
      <c r="X219" s="130"/>
      <c r="Y219" s="130"/>
      <c r="Z219" s="130"/>
      <c r="AA219" s="130"/>
      <c r="AB219" s="130"/>
    </row>
    <row r="220" spans="1:28" ht="17.25">
      <c r="A220" s="130"/>
      <c r="B220" s="130"/>
      <c r="C220" s="130"/>
      <c r="D220" s="130"/>
      <c r="E220" s="130"/>
      <c r="F220" s="130"/>
      <c r="G220" s="130"/>
      <c r="H220" s="130"/>
      <c r="I220" s="130"/>
      <c r="J220" s="130"/>
      <c r="K220" s="130"/>
      <c r="L220" s="130"/>
      <c r="M220" s="130"/>
      <c r="N220" s="130"/>
      <c r="O220" s="130"/>
      <c r="P220" s="130"/>
      <c r="Q220" s="130"/>
      <c r="R220" s="130"/>
      <c r="S220" s="130"/>
      <c r="T220" s="130"/>
      <c r="U220" s="130"/>
      <c r="V220" s="130"/>
      <c r="W220" s="130"/>
      <c r="X220" s="130"/>
      <c r="Y220" s="130"/>
      <c r="Z220" s="130"/>
      <c r="AA220" s="130"/>
      <c r="AB220" s="130"/>
    </row>
    <row r="221" spans="1:28" ht="17.25">
      <c r="A221" s="130"/>
      <c r="B221" s="130"/>
      <c r="C221" s="130"/>
      <c r="D221" s="130"/>
      <c r="E221" s="130"/>
      <c r="F221" s="130"/>
      <c r="G221" s="130"/>
      <c r="H221" s="130"/>
      <c r="I221" s="130"/>
      <c r="J221" s="130"/>
      <c r="K221" s="130"/>
      <c r="L221" s="130"/>
      <c r="M221" s="130"/>
      <c r="N221" s="130"/>
      <c r="O221" s="130"/>
      <c r="P221" s="130"/>
      <c r="Q221" s="130"/>
      <c r="R221" s="130"/>
      <c r="S221" s="130"/>
      <c r="T221" s="130"/>
      <c r="U221" s="130"/>
      <c r="V221" s="130"/>
      <c r="W221" s="130"/>
      <c r="X221" s="130"/>
      <c r="Y221" s="130"/>
      <c r="Z221" s="130"/>
      <c r="AA221" s="130"/>
      <c r="AB221" s="130"/>
    </row>
    <row r="222" spans="1:28" ht="17.25">
      <c r="A222" s="130"/>
      <c r="B222" s="130"/>
      <c r="C222" s="130"/>
      <c r="D222" s="130"/>
      <c r="E222" s="130"/>
    </row>
    <row r="223" spans="1:28" ht="17.25">
      <c r="A223" s="130"/>
      <c r="B223" s="130"/>
      <c r="C223" s="130"/>
      <c r="D223" s="130"/>
      <c r="E223" s="130"/>
    </row>
    <row r="224" spans="1:28" ht="17.25">
      <c r="A224" s="130"/>
      <c r="B224" s="130"/>
      <c r="C224" s="130"/>
      <c r="D224" s="130"/>
      <c r="E224" s="130"/>
    </row>
    <row r="225" spans="1:5" ht="17.25">
      <c r="A225" s="130"/>
      <c r="B225" s="130"/>
      <c r="C225" s="130"/>
      <c r="D225" s="130"/>
      <c r="E225" s="130"/>
    </row>
    <row r="226" spans="1:5" ht="17.25">
      <c r="A226" s="130"/>
      <c r="B226" s="130"/>
      <c r="C226" s="130"/>
      <c r="D226" s="130"/>
      <c r="E226" s="130"/>
    </row>
    <row r="227" spans="1:5" ht="17.25">
      <c r="A227" s="130"/>
      <c r="B227" s="130"/>
      <c r="C227" s="130"/>
      <c r="D227" s="130"/>
      <c r="E227" s="130"/>
    </row>
    <row r="228" spans="1:5" ht="17.25">
      <c r="A228" s="130"/>
      <c r="B228" s="130"/>
      <c r="C228" s="130"/>
      <c r="D228" s="130"/>
      <c r="E228" s="130"/>
    </row>
    <row r="229" spans="1:5" ht="17.25">
      <c r="A229" s="130"/>
      <c r="B229" s="130"/>
      <c r="C229" s="130"/>
      <c r="D229" s="130"/>
      <c r="E229" s="130"/>
    </row>
    <row r="230" spans="1:5" ht="17.25">
      <c r="A230" s="130"/>
      <c r="B230" s="130"/>
      <c r="C230" s="130"/>
      <c r="D230" s="130"/>
      <c r="E230" s="130"/>
    </row>
  </sheetData>
  <mergeCells count="57">
    <mergeCell ref="A2:A8"/>
    <mergeCell ref="B2:F2"/>
    <mergeCell ref="G2:H8"/>
    <mergeCell ref="B3:F6"/>
    <mergeCell ref="B7:C8"/>
    <mergeCell ref="D7:E8"/>
    <mergeCell ref="F7:F8"/>
    <mergeCell ref="A184:H184"/>
    <mergeCell ref="A161:H161"/>
    <mergeCell ref="A163:H163"/>
    <mergeCell ref="A165:H165"/>
    <mergeCell ref="A180:H180"/>
    <mergeCell ref="A182:H182"/>
    <mergeCell ref="A183:H183"/>
    <mergeCell ref="A159:H159"/>
    <mergeCell ref="A117:H117"/>
    <mergeCell ref="C119:E119"/>
    <mergeCell ref="A128:H128"/>
    <mergeCell ref="A130:H130"/>
    <mergeCell ref="A132:H132"/>
    <mergeCell ref="C134:E134"/>
    <mergeCell ref="A135:G135"/>
    <mergeCell ref="A142:H142"/>
    <mergeCell ref="A144:H144"/>
    <mergeCell ref="A146:H146"/>
    <mergeCell ref="A148:H148"/>
    <mergeCell ref="A115:H115"/>
    <mergeCell ref="C57:E57"/>
    <mergeCell ref="A65:H65"/>
    <mergeCell ref="A75:H75"/>
    <mergeCell ref="F83:H84"/>
    <mergeCell ref="A86:H86"/>
    <mergeCell ref="A90:H90"/>
    <mergeCell ref="A92:H92"/>
    <mergeCell ref="C94:E94"/>
    <mergeCell ref="A104:H104"/>
    <mergeCell ref="A106:H106"/>
    <mergeCell ref="C108:E108"/>
    <mergeCell ref="C55:E55"/>
    <mergeCell ref="F55:G55"/>
    <mergeCell ref="A25:H25"/>
    <mergeCell ref="A27:H27"/>
    <mergeCell ref="A29:H29"/>
    <mergeCell ref="A31:H31"/>
    <mergeCell ref="A33:H33"/>
    <mergeCell ref="A35:H35"/>
    <mergeCell ref="A37:H37"/>
    <mergeCell ref="A39:H39"/>
    <mergeCell ref="A49:H49"/>
    <mergeCell ref="A51:H51"/>
    <mergeCell ref="A53:H53"/>
    <mergeCell ref="A23:H23"/>
    <mergeCell ref="A11:H11"/>
    <mergeCell ref="A13:H13"/>
    <mergeCell ref="A15:H15"/>
    <mergeCell ref="A17:H17"/>
    <mergeCell ref="A21:F21"/>
  </mergeCells>
  <printOptions horizontalCentered="1"/>
  <pageMargins left="0.19685039370078741" right="0.19685039370078741" top="0.59055118110236227" bottom="0.59055118110236227" header="0" footer="0.39370078740157483"/>
  <pageSetup scale="91" orientation="portrait" horizontalDpi="180" verticalDpi="180" r:id="rId1"/>
  <headerFooter alignWithMargins="0">
    <oddFooter>&amp;C&amp;"Calibri,Normal"&amp;9Página &amp;P de &amp;N</oddFooter>
  </headerFooter>
  <rowBreaks count="3" manualBreakCount="3">
    <brk id="64" max="7" man="1"/>
    <brk id="105" max="7" man="1"/>
    <brk id="143" max="7" man="1"/>
  </rowBreaks>
  <drawing r:id="rId2"/>
  <legacyDrawing r:id="rId3"/>
</worksheet>
</file>

<file path=xl/worksheets/sheet7.xml><?xml version="1.0" encoding="utf-8"?>
<worksheet xmlns="http://schemas.openxmlformats.org/spreadsheetml/2006/main" xmlns:r="http://schemas.openxmlformats.org/officeDocument/2006/relationships">
  <dimension ref="A2:H23"/>
  <sheetViews>
    <sheetView workbookViewId="0">
      <selection activeCell="G22" sqref="G22"/>
    </sheetView>
  </sheetViews>
  <sheetFormatPr baseColWidth="10" defaultRowHeight="12.75"/>
  <cols>
    <col min="1" max="1" width="9.28515625" style="47" customWidth="1"/>
    <col min="2" max="3" width="11.42578125" style="47"/>
    <col min="4" max="4" width="14.7109375" style="47" customWidth="1"/>
    <col min="5" max="5" width="11.42578125" style="47"/>
    <col min="6" max="6" width="9.42578125" style="47" customWidth="1"/>
    <col min="7" max="16384" width="11.42578125" style="47"/>
  </cols>
  <sheetData>
    <row r="2" spans="1:8">
      <c r="A2" s="234" t="s">
        <v>2</v>
      </c>
      <c r="B2" s="234"/>
      <c r="C2" s="234"/>
      <c r="D2" s="234"/>
      <c r="E2" s="234"/>
      <c r="F2" s="234"/>
      <c r="G2" s="234"/>
      <c r="H2" s="234"/>
    </row>
    <row r="3" spans="1:8">
      <c r="A3" s="14" t="s">
        <v>3</v>
      </c>
    </row>
    <row r="4" spans="1:8" ht="13.5" thickBot="1"/>
    <row r="5" spans="1:8" ht="37.5" customHeight="1" thickTop="1" thickBot="1">
      <c r="A5" s="69" t="s">
        <v>4</v>
      </c>
      <c r="B5" s="70" t="s">
        <v>9</v>
      </c>
      <c r="C5" s="71" t="s">
        <v>5</v>
      </c>
      <c r="D5" s="71" t="s">
        <v>6</v>
      </c>
      <c r="E5" s="71" t="s">
        <v>7</v>
      </c>
      <c r="F5" s="72" t="s">
        <v>8</v>
      </c>
    </row>
    <row r="6" spans="1:8" ht="15" customHeight="1" thickBot="1">
      <c r="A6" s="48" t="s">
        <v>10</v>
      </c>
      <c r="B6" s="49" t="s">
        <v>11</v>
      </c>
      <c r="C6" s="49" t="s">
        <v>12</v>
      </c>
      <c r="D6" s="49" t="s">
        <v>13</v>
      </c>
      <c r="E6" s="49" t="s">
        <v>14</v>
      </c>
      <c r="F6" s="50" t="s">
        <v>15</v>
      </c>
    </row>
    <row r="7" spans="1:8" ht="15" customHeight="1">
      <c r="A7" s="235" t="s">
        <v>16</v>
      </c>
      <c r="B7" s="51" t="s">
        <v>17</v>
      </c>
      <c r="C7" s="52">
        <v>1000</v>
      </c>
      <c r="D7" s="51" t="s">
        <v>23</v>
      </c>
      <c r="E7" s="51" t="s">
        <v>31</v>
      </c>
      <c r="F7" s="53" t="s">
        <v>32</v>
      </c>
    </row>
    <row r="8" spans="1:8" ht="15" customHeight="1">
      <c r="A8" s="236"/>
      <c r="B8" s="54" t="s">
        <v>18</v>
      </c>
      <c r="C8" s="54">
        <v>660</v>
      </c>
      <c r="D8" s="54" t="s">
        <v>24</v>
      </c>
      <c r="E8" s="54" t="s">
        <v>31</v>
      </c>
      <c r="F8" s="55" t="s">
        <v>32</v>
      </c>
    </row>
    <row r="9" spans="1:8" ht="15" customHeight="1">
      <c r="A9" s="236"/>
      <c r="B9" s="54" t="s">
        <v>19</v>
      </c>
      <c r="C9" s="54">
        <v>380</v>
      </c>
      <c r="D9" s="54" t="s">
        <v>25</v>
      </c>
      <c r="E9" s="54" t="s">
        <v>31</v>
      </c>
      <c r="F9" s="55" t="s">
        <v>32</v>
      </c>
    </row>
    <row r="10" spans="1:8" ht="15" customHeight="1">
      <c r="A10" s="236"/>
      <c r="B10" s="54" t="s">
        <v>19</v>
      </c>
      <c r="C10" s="54">
        <v>27</v>
      </c>
      <c r="D10" s="54" t="s">
        <v>26</v>
      </c>
      <c r="E10" s="54" t="s">
        <v>31</v>
      </c>
      <c r="F10" s="55" t="s">
        <v>32</v>
      </c>
    </row>
    <row r="11" spans="1:8" ht="15" customHeight="1">
      <c r="A11" s="236"/>
      <c r="B11" s="54" t="s">
        <v>20</v>
      </c>
      <c r="C11" s="54">
        <v>17</v>
      </c>
      <c r="D11" s="54" t="s">
        <v>27</v>
      </c>
      <c r="E11" s="54" t="s">
        <v>31</v>
      </c>
      <c r="F11" s="55" t="s">
        <v>32</v>
      </c>
    </row>
    <row r="12" spans="1:8" ht="15" customHeight="1">
      <c r="A12" s="236"/>
      <c r="B12" s="54" t="s">
        <v>21</v>
      </c>
      <c r="C12" s="54">
        <v>10</v>
      </c>
      <c r="D12" s="54" t="s">
        <v>28</v>
      </c>
      <c r="E12" s="54" t="s">
        <v>31</v>
      </c>
      <c r="F12" s="55" t="s">
        <v>32</v>
      </c>
      <c r="H12" s="56"/>
    </row>
    <row r="13" spans="1:8" ht="15" customHeight="1">
      <c r="A13" s="236"/>
      <c r="B13" s="57" t="s">
        <v>22</v>
      </c>
      <c r="C13" s="57">
        <v>4</v>
      </c>
      <c r="D13" s="57" t="s">
        <v>29</v>
      </c>
      <c r="E13" s="57" t="s">
        <v>31</v>
      </c>
      <c r="F13" s="58" t="s">
        <v>32</v>
      </c>
    </row>
    <row r="14" spans="1:8" ht="15" customHeight="1" thickBot="1">
      <c r="A14" s="237"/>
      <c r="B14" s="59" t="s">
        <v>33</v>
      </c>
      <c r="C14" s="59">
        <v>2</v>
      </c>
      <c r="D14" s="59" t="s">
        <v>30</v>
      </c>
      <c r="E14" s="59" t="s">
        <v>31</v>
      </c>
      <c r="F14" s="60" t="s">
        <v>32</v>
      </c>
    </row>
    <row r="15" spans="1:8">
      <c r="A15" s="235" t="s">
        <v>34</v>
      </c>
      <c r="B15" s="51" t="s">
        <v>35</v>
      </c>
      <c r="C15" s="61">
        <v>0.8</v>
      </c>
      <c r="D15" s="51" t="s">
        <v>44</v>
      </c>
      <c r="E15" s="51" t="s">
        <v>52</v>
      </c>
      <c r="F15" s="53" t="s">
        <v>53</v>
      </c>
    </row>
    <row r="16" spans="1:8">
      <c r="A16" s="236"/>
      <c r="B16" s="57" t="s">
        <v>36</v>
      </c>
      <c r="C16" s="57">
        <v>0.5</v>
      </c>
      <c r="D16" s="57" t="s">
        <v>45</v>
      </c>
      <c r="E16" s="62" t="s">
        <v>52</v>
      </c>
      <c r="F16" s="63" t="s">
        <v>53</v>
      </c>
      <c r="G16" s="239" t="s">
        <v>155</v>
      </c>
      <c r="H16" s="239"/>
    </row>
    <row r="17" spans="1:7">
      <c r="A17" s="236"/>
      <c r="B17" s="57" t="s">
        <v>37</v>
      </c>
      <c r="C17" s="57">
        <v>0.24</v>
      </c>
      <c r="D17" s="57" t="s">
        <v>46</v>
      </c>
      <c r="E17" s="62" t="s">
        <v>52</v>
      </c>
      <c r="F17" s="63" t="s">
        <v>53</v>
      </c>
      <c r="G17" s="38"/>
    </row>
    <row r="18" spans="1:7">
      <c r="A18" s="236"/>
      <c r="B18" s="54" t="s">
        <v>38</v>
      </c>
      <c r="C18" s="54" t="s">
        <v>43</v>
      </c>
      <c r="D18" s="54" t="s">
        <v>47</v>
      </c>
      <c r="E18" s="64" t="s">
        <v>52</v>
      </c>
      <c r="F18" s="65" t="s">
        <v>53</v>
      </c>
    </row>
    <row r="19" spans="1:7">
      <c r="A19" s="236"/>
      <c r="B19" s="54" t="s">
        <v>39</v>
      </c>
      <c r="C19" s="54" t="s">
        <v>43</v>
      </c>
      <c r="D19" s="54" t="s">
        <v>48</v>
      </c>
      <c r="E19" s="64" t="s">
        <v>52</v>
      </c>
      <c r="F19" s="65" t="s">
        <v>53</v>
      </c>
    </row>
    <row r="20" spans="1:7">
      <c r="A20" s="236"/>
      <c r="B20" s="54" t="s">
        <v>40</v>
      </c>
      <c r="C20" s="54" t="s">
        <v>43</v>
      </c>
      <c r="D20" s="54" t="s">
        <v>49</v>
      </c>
      <c r="E20" s="64" t="s">
        <v>52</v>
      </c>
      <c r="F20" s="65" t="s">
        <v>53</v>
      </c>
    </row>
    <row r="21" spans="1:7">
      <c r="A21" s="236"/>
      <c r="B21" s="54" t="s">
        <v>41</v>
      </c>
      <c r="C21" s="54" t="s">
        <v>43</v>
      </c>
      <c r="D21" s="54" t="s">
        <v>50</v>
      </c>
      <c r="E21" s="64" t="s">
        <v>52</v>
      </c>
      <c r="F21" s="65" t="s">
        <v>53</v>
      </c>
    </row>
    <row r="22" spans="1:7" ht="13.5" thickBot="1">
      <c r="A22" s="238"/>
      <c r="B22" s="66" t="s">
        <v>42</v>
      </c>
      <c r="C22" s="66" t="s">
        <v>43</v>
      </c>
      <c r="D22" s="66" t="s">
        <v>51</v>
      </c>
      <c r="E22" s="67" t="s">
        <v>52</v>
      </c>
      <c r="F22" s="68" t="s">
        <v>53</v>
      </c>
    </row>
    <row r="23" spans="1:7" ht="13.5" thickTop="1"/>
  </sheetData>
  <mergeCells count="4">
    <mergeCell ref="A2:H2"/>
    <mergeCell ref="A7:A14"/>
    <mergeCell ref="A15:A22"/>
    <mergeCell ref="G16:H16"/>
  </mergeCells>
  <phoneticPr fontId="0" type="noConversion"/>
  <pageMargins left="0.75" right="0.75" top="1" bottom="1" header="0" footer="0"/>
  <headerFooter alignWithMargins="0"/>
</worksheet>
</file>

<file path=xl/worksheets/sheet8.xml><?xml version="1.0" encoding="utf-8"?>
<worksheet xmlns="http://schemas.openxmlformats.org/spreadsheetml/2006/main" xmlns:r="http://schemas.openxmlformats.org/officeDocument/2006/relationships">
  <dimension ref="A1:E42"/>
  <sheetViews>
    <sheetView workbookViewId="0">
      <selection activeCell="A15" sqref="A15:XFD15"/>
    </sheetView>
  </sheetViews>
  <sheetFormatPr baseColWidth="10" defaultColWidth="17.140625" defaultRowHeight="14.25"/>
  <cols>
    <col min="1" max="1" width="13.42578125" style="7" customWidth="1"/>
    <col min="2" max="2" width="16.28515625" style="7" customWidth="1"/>
    <col min="3" max="3" width="13" style="7" customWidth="1"/>
    <col min="4" max="4" width="13.42578125" style="7" customWidth="1"/>
    <col min="5" max="5" width="12.7109375" style="7" customWidth="1"/>
    <col min="6" max="16384" width="17.140625" style="7"/>
  </cols>
  <sheetData>
    <row r="1" spans="1:5" ht="15">
      <c r="A1" s="6" t="s">
        <v>68</v>
      </c>
      <c r="B1" s="6"/>
      <c r="C1" s="6"/>
      <c r="D1" s="6"/>
      <c r="E1" s="6"/>
    </row>
    <row r="2" spans="1:5" ht="15">
      <c r="A2" s="6" t="s">
        <v>69</v>
      </c>
      <c r="B2" s="6"/>
      <c r="C2" s="6"/>
      <c r="D2" s="6"/>
      <c r="E2" s="6"/>
    </row>
    <row r="4" spans="1:5" ht="42.75" customHeight="1">
      <c r="A4" s="8" t="s">
        <v>70</v>
      </c>
      <c r="B4" s="8" t="s">
        <v>72</v>
      </c>
      <c r="C4" s="8" t="s">
        <v>71</v>
      </c>
      <c r="D4" s="8" t="s">
        <v>73</v>
      </c>
      <c r="E4" s="8" t="s">
        <v>74</v>
      </c>
    </row>
    <row r="5" spans="1:5" ht="12" customHeight="1">
      <c r="A5" s="9">
        <v>0</v>
      </c>
      <c r="B5" s="10">
        <f>0.99987*1000</f>
        <v>999.87</v>
      </c>
      <c r="C5" s="12">
        <v>1.7919999999999998E-2</v>
      </c>
      <c r="D5" s="12">
        <f t="shared" ref="D5:D35" si="0">C5/98</f>
        <v>1.8285714285714284E-4</v>
      </c>
      <c r="E5" s="12">
        <f t="shared" ref="E5:E35" si="1">C5/(B5/1000)</f>
        <v>1.7922329902887373E-2</v>
      </c>
    </row>
    <row r="6" spans="1:5" ht="12" customHeight="1">
      <c r="A6" s="9">
        <f t="shared" ref="A6:A35" si="2">A5+1</f>
        <v>1</v>
      </c>
      <c r="B6" s="10">
        <f>0.99993*1000</f>
        <v>999.93</v>
      </c>
      <c r="C6" s="12">
        <v>1.7319999999999999E-2</v>
      </c>
      <c r="D6" s="12">
        <f t="shared" si="0"/>
        <v>1.7673469387755102E-4</v>
      </c>
      <c r="E6" s="12">
        <f t="shared" si="1"/>
        <v>1.7321212484873939E-2</v>
      </c>
    </row>
    <row r="7" spans="1:5" ht="12" customHeight="1">
      <c r="A7" s="9">
        <f t="shared" si="2"/>
        <v>2</v>
      </c>
      <c r="B7" s="10">
        <f>0.99997*1000</f>
        <v>999.97</v>
      </c>
      <c r="C7" s="12">
        <v>1.6740000000000001E-2</v>
      </c>
      <c r="D7" s="12">
        <f t="shared" si="0"/>
        <v>1.7081632653061227E-4</v>
      </c>
      <c r="E7" s="12">
        <f t="shared" si="1"/>
        <v>1.6740502215066452E-2</v>
      </c>
    </row>
    <row r="8" spans="1:5" ht="12" customHeight="1">
      <c r="A8" s="9">
        <f t="shared" si="2"/>
        <v>3</v>
      </c>
      <c r="B8" s="10">
        <f>0.99999*1000</f>
        <v>999.99</v>
      </c>
      <c r="C8" s="12">
        <v>1.619E-2</v>
      </c>
      <c r="D8" s="12">
        <f t="shared" si="0"/>
        <v>1.6520408163265307E-4</v>
      </c>
      <c r="E8" s="12">
        <f t="shared" si="1"/>
        <v>1.6190161901619014E-2</v>
      </c>
    </row>
    <row r="9" spans="1:5" ht="12" customHeight="1">
      <c r="A9" s="9">
        <f t="shared" si="2"/>
        <v>4</v>
      </c>
      <c r="B9" s="10">
        <f>1*1000</f>
        <v>1000</v>
      </c>
      <c r="C9" s="12">
        <v>1.5679999999999999E-2</v>
      </c>
      <c r="D9" s="12">
        <f t="shared" si="0"/>
        <v>1.5999999999999999E-4</v>
      </c>
      <c r="E9" s="12">
        <f t="shared" si="1"/>
        <v>1.5679999999999999E-2</v>
      </c>
    </row>
    <row r="10" spans="1:5" ht="12" customHeight="1">
      <c r="A10" s="9">
        <f t="shared" si="2"/>
        <v>5</v>
      </c>
      <c r="B10" s="10">
        <f>0.99999*1000</f>
        <v>999.99</v>
      </c>
      <c r="C10" s="12">
        <v>1.519E-2</v>
      </c>
      <c r="D10" s="12">
        <f t="shared" si="0"/>
        <v>1.55E-4</v>
      </c>
      <c r="E10" s="12">
        <f t="shared" si="1"/>
        <v>1.5190151901519015E-2</v>
      </c>
    </row>
    <row r="11" spans="1:5" ht="12" customHeight="1">
      <c r="A11" s="9">
        <f t="shared" si="2"/>
        <v>6</v>
      </c>
      <c r="B11" s="10">
        <f>0.99997*1000</f>
        <v>999.97</v>
      </c>
      <c r="C11" s="12">
        <v>1.473E-2</v>
      </c>
      <c r="D11" s="12">
        <f t="shared" si="0"/>
        <v>1.5030612244897959E-4</v>
      </c>
      <c r="E11" s="12">
        <f t="shared" si="1"/>
        <v>1.4730441913257397E-2</v>
      </c>
    </row>
    <row r="12" spans="1:5" ht="12" customHeight="1">
      <c r="A12" s="9">
        <f t="shared" si="2"/>
        <v>7</v>
      </c>
      <c r="B12" s="10">
        <f>0.99993*1000</f>
        <v>999.93</v>
      </c>
      <c r="C12" s="12">
        <v>1.4290000000000001E-2</v>
      </c>
      <c r="D12" s="12">
        <f t="shared" si="0"/>
        <v>1.4581632653061226E-4</v>
      </c>
      <c r="E12" s="12">
        <f t="shared" si="1"/>
        <v>1.4291000370025902E-2</v>
      </c>
    </row>
    <row r="13" spans="1:5" ht="12" customHeight="1">
      <c r="A13" s="9">
        <f t="shared" si="2"/>
        <v>8</v>
      </c>
      <c r="B13" s="10">
        <f>0.99988*1000</f>
        <v>999.88</v>
      </c>
      <c r="C13" s="12">
        <v>1.387E-2</v>
      </c>
      <c r="D13" s="12">
        <f t="shared" si="0"/>
        <v>1.4153061224489796E-4</v>
      </c>
      <c r="E13" s="12">
        <f t="shared" si="1"/>
        <v>1.3871664599751971E-2</v>
      </c>
    </row>
    <row r="14" spans="1:5" ht="12" customHeight="1">
      <c r="A14" s="9">
        <f t="shared" si="2"/>
        <v>9</v>
      </c>
      <c r="B14" s="10">
        <f>0.99981*1000</f>
        <v>999.81</v>
      </c>
      <c r="C14" s="12">
        <v>1.3480000000000001E-2</v>
      </c>
      <c r="D14" s="12">
        <f t="shared" si="0"/>
        <v>1.3755102040816328E-4</v>
      </c>
      <c r="E14" s="12">
        <f t="shared" si="1"/>
        <v>1.3482561686720478E-2</v>
      </c>
    </row>
    <row r="15" spans="1:5" ht="12" customHeight="1">
      <c r="A15" s="9">
        <f t="shared" si="2"/>
        <v>10</v>
      </c>
      <c r="B15" s="10">
        <f>0.99973*1000</f>
        <v>999.73</v>
      </c>
      <c r="C15" s="12">
        <v>1.3100000000000001E-2</v>
      </c>
      <c r="D15" s="12">
        <f t="shared" si="0"/>
        <v>1.336734693877551E-4</v>
      </c>
      <c r="E15" s="12">
        <f t="shared" si="1"/>
        <v>1.3103537955247917E-2</v>
      </c>
    </row>
    <row r="16" spans="1:5" ht="12" customHeight="1">
      <c r="A16" s="9">
        <f t="shared" si="2"/>
        <v>11</v>
      </c>
      <c r="B16" s="10">
        <f>0.99963*1000</f>
        <v>999.63</v>
      </c>
      <c r="C16" s="12">
        <v>1.274E-2</v>
      </c>
      <c r="D16" s="12">
        <f t="shared" si="0"/>
        <v>1.2999999999999999E-4</v>
      </c>
      <c r="E16" s="12">
        <f t="shared" si="1"/>
        <v>1.2744715544751557E-2</v>
      </c>
    </row>
    <row r="17" spans="1:5" ht="12" customHeight="1">
      <c r="A17" s="9">
        <f t="shared" si="2"/>
        <v>12</v>
      </c>
      <c r="B17" s="10">
        <f>0.99952*1000</f>
        <v>999.52</v>
      </c>
      <c r="C17" s="12">
        <v>1.239E-2</v>
      </c>
      <c r="D17" s="12">
        <f t="shared" si="0"/>
        <v>1.2642857142857142E-4</v>
      </c>
      <c r="E17" s="12">
        <f t="shared" si="1"/>
        <v>1.2395950056026893E-2</v>
      </c>
    </row>
    <row r="18" spans="1:5" ht="12" customHeight="1">
      <c r="A18" s="9">
        <f t="shared" si="2"/>
        <v>13</v>
      </c>
      <c r="B18" s="10">
        <f>0.9994*1000</f>
        <v>999.4</v>
      </c>
      <c r="C18" s="12">
        <v>1.206E-2</v>
      </c>
      <c r="D18" s="12">
        <f t="shared" si="0"/>
        <v>1.2306122448979591E-4</v>
      </c>
      <c r="E18" s="12">
        <f t="shared" si="1"/>
        <v>1.2067240344206524E-2</v>
      </c>
    </row>
    <row r="19" spans="1:5" ht="12" customHeight="1">
      <c r="A19" s="9">
        <f t="shared" si="2"/>
        <v>14</v>
      </c>
      <c r="B19" s="10">
        <f>0.99927*1000</f>
        <v>999.27</v>
      </c>
      <c r="C19" s="12">
        <v>1.175E-2</v>
      </c>
      <c r="D19" s="12">
        <f t="shared" si="0"/>
        <v>1.1989795918367347E-4</v>
      </c>
      <c r="E19" s="12">
        <f t="shared" si="1"/>
        <v>1.1758583766149289E-2</v>
      </c>
    </row>
    <row r="20" spans="1:5" ht="12" customHeight="1">
      <c r="A20" s="9">
        <f t="shared" si="2"/>
        <v>15</v>
      </c>
      <c r="B20" s="10">
        <f>0.99913*1000</f>
        <v>999.13</v>
      </c>
      <c r="C20" s="12">
        <v>1.145E-2</v>
      </c>
      <c r="D20" s="12">
        <f t="shared" si="0"/>
        <v>1.1683673469387756E-4</v>
      </c>
      <c r="E20" s="12">
        <f t="shared" si="1"/>
        <v>1.1459970174051426E-2</v>
      </c>
    </row>
    <row r="21" spans="1:5" ht="12" customHeight="1">
      <c r="A21" s="9">
        <f t="shared" si="2"/>
        <v>16</v>
      </c>
      <c r="B21" s="10">
        <f>0.9988*1000</f>
        <v>998.80000000000007</v>
      </c>
      <c r="C21" s="12">
        <v>1.116E-2</v>
      </c>
      <c r="D21" s="12">
        <f t="shared" si="0"/>
        <v>1.1387755102040816E-4</v>
      </c>
      <c r="E21" s="12">
        <f t="shared" si="1"/>
        <v>1.1173408089707649E-2</v>
      </c>
    </row>
    <row r="22" spans="1:5" ht="12" customHeight="1">
      <c r="A22" s="9">
        <f t="shared" si="2"/>
        <v>17</v>
      </c>
      <c r="B22" s="10">
        <f>0.9988*1000</f>
        <v>998.80000000000007</v>
      </c>
      <c r="C22" s="12">
        <v>1.0880000000000001E-2</v>
      </c>
      <c r="D22" s="12">
        <f t="shared" si="0"/>
        <v>1.1102040816326532E-4</v>
      </c>
      <c r="E22" s="12">
        <f t="shared" si="1"/>
        <v>1.0893071686023229E-2</v>
      </c>
    </row>
    <row r="23" spans="1:5" ht="12" customHeight="1">
      <c r="A23" s="9">
        <f t="shared" si="2"/>
        <v>18</v>
      </c>
      <c r="B23" s="10">
        <f>0.99862*1000</f>
        <v>998.62</v>
      </c>
      <c r="C23" s="12">
        <v>1.06E-2</v>
      </c>
      <c r="D23" s="12">
        <f t="shared" si="0"/>
        <v>1.0816326530612245E-4</v>
      </c>
      <c r="E23" s="12">
        <f t="shared" si="1"/>
        <v>1.061464821453606E-2</v>
      </c>
    </row>
    <row r="24" spans="1:5" ht="12" customHeight="1">
      <c r="A24" s="9">
        <f t="shared" si="2"/>
        <v>19</v>
      </c>
      <c r="B24" s="10">
        <f>0.99843*1000</f>
        <v>998.43000000000006</v>
      </c>
      <c r="C24" s="12">
        <v>1.034E-2</v>
      </c>
      <c r="D24" s="12">
        <f t="shared" si="0"/>
        <v>1.0551020408163265E-4</v>
      </c>
      <c r="E24" s="12">
        <f t="shared" si="1"/>
        <v>1.0356259327143616E-2</v>
      </c>
    </row>
    <row r="25" spans="1:5" ht="12" customHeight="1">
      <c r="A25" s="9">
        <f t="shared" si="2"/>
        <v>20</v>
      </c>
      <c r="B25" s="10">
        <f>0.99823*1000</f>
        <v>998.2299999999999</v>
      </c>
      <c r="C25" s="12">
        <v>1.009E-2</v>
      </c>
      <c r="D25" s="12">
        <f t="shared" si="0"/>
        <v>1.0295918367346939E-4</v>
      </c>
      <c r="E25" s="12">
        <f t="shared" si="1"/>
        <v>1.0107890967011611E-2</v>
      </c>
    </row>
    <row r="26" spans="1:5" ht="12" customHeight="1">
      <c r="A26" s="9">
        <f t="shared" si="2"/>
        <v>21</v>
      </c>
      <c r="B26" s="10">
        <f>0.99802*1000</f>
        <v>998.02</v>
      </c>
      <c r="C26" s="12">
        <v>9.8399999999999998E-3</v>
      </c>
      <c r="D26" s="12">
        <f t="shared" si="0"/>
        <v>1.0040816326530612E-4</v>
      </c>
      <c r="E26" s="12">
        <f t="shared" si="1"/>
        <v>9.8595218532694737E-3</v>
      </c>
    </row>
    <row r="27" spans="1:5" ht="12" customHeight="1">
      <c r="A27" s="9">
        <f t="shared" si="2"/>
        <v>22</v>
      </c>
      <c r="B27" s="10">
        <f>0.9978*1000</f>
        <v>997.80000000000007</v>
      </c>
      <c r="C27" s="12">
        <v>9.6100000000000005E-3</v>
      </c>
      <c r="D27" s="12">
        <f t="shared" si="0"/>
        <v>9.8061224489795929E-5</v>
      </c>
      <c r="E27" s="12">
        <f t="shared" si="1"/>
        <v>9.6311886149528965E-3</v>
      </c>
    </row>
    <row r="28" spans="1:5" ht="12" customHeight="1">
      <c r="A28" s="9">
        <f t="shared" si="2"/>
        <v>23</v>
      </c>
      <c r="B28" s="10">
        <f>0.99757*1000</f>
        <v>997.56999999999994</v>
      </c>
      <c r="C28" s="12">
        <v>9.3799999999999994E-3</v>
      </c>
      <c r="D28" s="12">
        <f t="shared" si="0"/>
        <v>9.5714285714285712E-5</v>
      </c>
      <c r="E28" s="12">
        <f t="shared" si="1"/>
        <v>9.4028489228826038E-3</v>
      </c>
    </row>
    <row r="29" spans="1:5" ht="12" customHeight="1">
      <c r="A29" s="9">
        <f t="shared" si="2"/>
        <v>24</v>
      </c>
      <c r="B29" s="10">
        <f>0.99733*1000</f>
        <v>997.33</v>
      </c>
      <c r="C29" s="12">
        <v>9.1599999999999997E-3</v>
      </c>
      <c r="D29" s="12">
        <f t="shared" si="0"/>
        <v>9.3469387755102043E-5</v>
      </c>
      <c r="E29" s="12">
        <f t="shared" si="1"/>
        <v>9.1845226755437014E-3</v>
      </c>
    </row>
    <row r="30" spans="1:5" ht="12" customHeight="1">
      <c r="A30" s="9">
        <f t="shared" si="2"/>
        <v>25</v>
      </c>
      <c r="B30" s="10">
        <f>0.99707*1000</f>
        <v>997.07</v>
      </c>
      <c r="C30" s="12">
        <v>8.9499999999999996E-3</v>
      </c>
      <c r="D30" s="12">
        <f t="shared" si="0"/>
        <v>9.1326530612244897E-5</v>
      </c>
      <c r="E30" s="12">
        <f t="shared" si="1"/>
        <v>8.9763005606426829E-3</v>
      </c>
    </row>
    <row r="31" spans="1:5" ht="12" customHeight="1">
      <c r="A31" s="9">
        <f t="shared" si="2"/>
        <v>26</v>
      </c>
      <c r="B31" s="10">
        <f>0.99681*1000</f>
        <v>996.81</v>
      </c>
      <c r="C31" s="12">
        <v>8.7500000000000008E-3</v>
      </c>
      <c r="D31" s="12">
        <f t="shared" si="0"/>
        <v>8.9285714285714299E-5</v>
      </c>
      <c r="E31" s="12">
        <f t="shared" si="1"/>
        <v>8.7780018258243817E-3</v>
      </c>
    </row>
    <row r="32" spans="1:5" ht="12" customHeight="1">
      <c r="A32" s="9">
        <f t="shared" si="2"/>
        <v>27</v>
      </c>
      <c r="B32" s="10">
        <f>0.99654*1000</f>
        <v>996.54</v>
      </c>
      <c r="C32" s="12">
        <v>8.5500000000000003E-3</v>
      </c>
      <c r="D32" s="12">
        <f t="shared" si="0"/>
        <v>8.7244897959183674E-5</v>
      </c>
      <c r="E32" s="12">
        <f t="shared" si="1"/>
        <v>8.5796857125654772E-3</v>
      </c>
    </row>
    <row r="33" spans="1:5" ht="12" customHeight="1">
      <c r="A33" s="9">
        <f t="shared" si="2"/>
        <v>28</v>
      </c>
      <c r="B33" s="10">
        <f>0.99626*1000</f>
        <v>996.26</v>
      </c>
      <c r="C33" s="12">
        <v>8.3599999999999994E-3</v>
      </c>
      <c r="D33" s="12">
        <f t="shared" si="0"/>
        <v>8.5306122448979585E-5</v>
      </c>
      <c r="E33" s="12">
        <f t="shared" si="1"/>
        <v>8.3913837753196944E-3</v>
      </c>
    </row>
    <row r="34" spans="1:5" ht="12" customHeight="1">
      <c r="A34" s="9">
        <f t="shared" si="2"/>
        <v>29</v>
      </c>
      <c r="B34" s="10">
        <f>0.99597*1000</f>
        <v>995.97</v>
      </c>
      <c r="C34" s="12">
        <v>8.1799999999999998E-3</v>
      </c>
      <c r="D34" s="12">
        <f t="shared" si="0"/>
        <v>8.3469387755102044E-5</v>
      </c>
      <c r="E34" s="12">
        <f t="shared" si="1"/>
        <v>8.2130987881161074E-3</v>
      </c>
    </row>
    <row r="35" spans="1:5" ht="12" customHeight="1">
      <c r="A35" s="9">
        <f t="shared" si="2"/>
        <v>30</v>
      </c>
      <c r="B35" s="10">
        <f>0.99568*1000</f>
        <v>995.68000000000006</v>
      </c>
      <c r="C35" s="12">
        <v>8.0000000000000002E-3</v>
      </c>
      <c r="D35" s="12">
        <f t="shared" si="0"/>
        <v>8.163265306122449E-5</v>
      </c>
      <c r="E35" s="12">
        <f t="shared" si="1"/>
        <v>8.0347099469709141E-3</v>
      </c>
    </row>
    <row r="37" spans="1:5" ht="15">
      <c r="B37" s="240" t="s">
        <v>82</v>
      </c>
      <c r="C37" s="240"/>
      <c r="D37" s="240"/>
    </row>
    <row r="39" spans="1:5" ht="28.5" customHeight="1">
      <c r="B39" s="8" t="s">
        <v>114</v>
      </c>
      <c r="C39" s="13">
        <v>87.5</v>
      </c>
      <c r="D39" s="9">
        <v>75</v>
      </c>
    </row>
    <row r="40" spans="1:5" ht="17.25" customHeight="1">
      <c r="B40" s="11">
        <v>1</v>
      </c>
      <c r="C40" s="22">
        <v>7</v>
      </c>
      <c r="D40" s="22">
        <v>3</v>
      </c>
    </row>
    <row r="41" spans="1:5" ht="17.25" customHeight="1">
      <c r="B41" s="9">
        <v>2</v>
      </c>
      <c r="C41" s="22">
        <v>2.75</v>
      </c>
      <c r="D41" s="22">
        <v>1.66</v>
      </c>
    </row>
    <row r="42" spans="1:5" ht="17.25" customHeight="1">
      <c r="B42" s="9">
        <v>3</v>
      </c>
      <c r="C42" s="22">
        <v>2.37</v>
      </c>
      <c r="D42" s="22">
        <v>1.52</v>
      </c>
    </row>
  </sheetData>
  <mergeCells count="1">
    <mergeCell ref="B37:D37"/>
  </mergeCells>
  <phoneticPr fontId="0" type="noConversion"/>
  <printOptions horizontalCentered="1"/>
  <pageMargins left="0.25" right="0.75" top="0.48" bottom="0.61" header="0.75" footer="0.31"/>
  <pageSetup orientation="portrait" horizontalDpi="180" verticalDpi="180" r:id="rId1"/>
  <headerFooter alignWithMargins="0">
    <oddHeader>&amp;R&amp;"Times New Roman,Negrita"Estudios y diseños Plan Maestro de Acueducto y
 Alcantarillado urbano del Municipio de Jardín</oddHeader>
    <oddFooter>&amp;R&amp;9&amp;F/&amp;A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Bocatoma La Berrionda</vt:lpstr>
      <vt:lpstr>Boc marinera</vt:lpstr>
      <vt:lpstr>Bocatoma La Berriondita</vt:lpstr>
      <vt:lpstr>Int. desarenador</vt:lpstr>
      <vt:lpstr>Des-Esc 3-2 (RAS-2000)</vt:lpstr>
      <vt:lpstr>Des-Esc 3-1 (RAS-2000)</vt:lpstr>
      <vt:lpstr>Relacion Diametro - Velocidad</vt:lpstr>
      <vt:lpstr>Viscosidad, Numero Hazen</vt:lpstr>
      <vt:lpstr>'Boc marinera'!Área_de_impresión</vt:lpstr>
      <vt:lpstr>'Bocatoma La Berrionda'!Área_de_impresión</vt:lpstr>
      <vt:lpstr>'Bocatoma La Berriondita'!Área_de_impresión</vt:lpstr>
      <vt:lpstr>'Des-Esc 3-1 (RAS-2000)'!Área_de_impresión</vt:lpstr>
      <vt:lpstr>'Des-Esc 3-2 (RAS-2000)'!Área_de_impresión</vt:lpstr>
      <vt:lpstr>'Int. desarenador'!Área_de_impresión</vt:lpstr>
      <vt:lpstr>'Viscosidad, Numero Hazen'!Área_de_impresión</vt:lpstr>
      <vt:lpstr>'Boc marinera'!Títulos_a_imprimir</vt:lpstr>
      <vt:lpstr>'Bocatoma La Berrionda'!Títulos_a_imprimir</vt:lpstr>
      <vt:lpstr>'Bocatoma La Berriondita'!Títulos_a_imprimir</vt:lpstr>
      <vt:lpstr>'Des-Esc 3-1 (RAS-2000)'!Títulos_a_imprimir</vt:lpstr>
      <vt:lpstr>'Des-Esc 3-2 (RAS-2000)'!Títulos_a_imprimir</vt:lpstr>
      <vt:lpstr>'Int. desarenador'!Títulos_a_imprimir</vt:lpstr>
    </vt:vector>
  </TitlesOfParts>
  <Company>SANEAR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SANEAR5</dc:creator>
  <cp:lastModifiedBy>Juliana Ramirez</cp:lastModifiedBy>
  <cp:lastPrinted>2011-04-04T19:57:23Z</cp:lastPrinted>
  <dcterms:created xsi:type="dcterms:W3CDTF">2001-01-25T14:48:02Z</dcterms:created>
  <dcterms:modified xsi:type="dcterms:W3CDTF">2014-05-29T17:24:14Z</dcterms:modified>
</cp:coreProperties>
</file>